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/>
  <bookViews>
    <workbookView xWindow="0" yWindow="0" windowWidth="21570" windowHeight="8145"/>
  </bookViews>
  <sheets>
    <sheet name="MAPA" sheetId="1" r:id="rId1"/>
  </sheets>
  <calcPr calcId="152511"/>
</workbook>
</file>

<file path=xl/calcChain.xml><?xml version="1.0" encoding="utf-8"?>
<calcChain xmlns="http://schemas.openxmlformats.org/spreadsheetml/2006/main">
  <c r="O79" i="1" l="1"/>
  <c r="N78" i="1" l="1"/>
  <c r="M78" i="1"/>
  <c r="L78" i="1"/>
  <c r="K78" i="1"/>
  <c r="J78" i="1"/>
  <c r="I78" i="1"/>
  <c r="H78" i="1"/>
  <c r="G78" i="1"/>
  <c r="P77" i="1"/>
  <c r="N77" i="1"/>
  <c r="M77" i="1"/>
  <c r="L77" i="1"/>
  <c r="K77" i="1"/>
  <c r="J77" i="1"/>
  <c r="I77" i="1"/>
  <c r="H77" i="1"/>
  <c r="G77" i="1"/>
  <c r="P76" i="1"/>
  <c r="N76" i="1"/>
  <c r="M76" i="1"/>
  <c r="L76" i="1"/>
  <c r="K76" i="1"/>
  <c r="J76" i="1"/>
  <c r="I76" i="1"/>
  <c r="H76" i="1"/>
  <c r="G76" i="1"/>
  <c r="P75" i="1"/>
  <c r="N75" i="1"/>
  <c r="M75" i="1"/>
  <c r="L75" i="1"/>
  <c r="K75" i="1"/>
  <c r="J75" i="1"/>
  <c r="I75" i="1"/>
  <c r="H75" i="1"/>
  <c r="G75" i="1"/>
  <c r="P74" i="1"/>
  <c r="N74" i="1"/>
  <c r="M74" i="1"/>
  <c r="L74" i="1"/>
  <c r="K74" i="1"/>
  <c r="J74" i="1"/>
  <c r="I74" i="1"/>
  <c r="H74" i="1"/>
  <c r="G74" i="1"/>
  <c r="P73" i="1"/>
  <c r="N73" i="1"/>
  <c r="M73" i="1"/>
  <c r="L73" i="1"/>
  <c r="K73" i="1"/>
  <c r="J73" i="1"/>
  <c r="I73" i="1"/>
  <c r="H73" i="1"/>
  <c r="G73" i="1"/>
  <c r="P72" i="1"/>
  <c r="N72" i="1"/>
  <c r="M72" i="1"/>
  <c r="L72" i="1"/>
  <c r="K72" i="1"/>
  <c r="J72" i="1"/>
  <c r="I72" i="1"/>
  <c r="H72" i="1"/>
  <c r="G72" i="1"/>
  <c r="P71" i="1"/>
  <c r="N71" i="1"/>
  <c r="M71" i="1"/>
  <c r="L71" i="1"/>
  <c r="K71" i="1"/>
  <c r="J71" i="1"/>
  <c r="I71" i="1"/>
  <c r="H71" i="1"/>
  <c r="G71" i="1"/>
  <c r="P70" i="1"/>
  <c r="N70" i="1"/>
  <c r="M70" i="1"/>
  <c r="L70" i="1"/>
  <c r="K70" i="1"/>
  <c r="J70" i="1"/>
  <c r="I70" i="1"/>
  <c r="H70" i="1"/>
  <c r="G70" i="1"/>
  <c r="P69" i="1"/>
  <c r="N69" i="1"/>
  <c r="M69" i="1"/>
  <c r="L69" i="1"/>
  <c r="K69" i="1"/>
  <c r="J69" i="1"/>
  <c r="I69" i="1"/>
  <c r="H69" i="1"/>
  <c r="G69" i="1"/>
  <c r="P68" i="1"/>
  <c r="N68" i="1"/>
  <c r="M68" i="1"/>
  <c r="L68" i="1"/>
  <c r="K68" i="1"/>
  <c r="J68" i="1"/>
  <c r="I68" i="1"/>
  <c r="H68" i="1"/>
  <c r="G68" i="1"/>
  <c r="P67" i="1"/>
  <c r="N67" i="1"/>
  <c r="M67" i="1"/>
  <c r="L67" i="1"/>
  <c r="K67" i="1"/>
  <c r="J67" i="1"/>
  <c r="I67" i="1"/>
  <c r="H67" i="1"/>
  <c r="G67" i="1"/>
  <c r="P66" i="1"/>
  <c r="N66" i="1"/>
  <c r="M66" i="1"/>
  <c r="L66" i="1"/>
  <c r="K66" i="1"/>
  <c r="J66" i="1"/>
  <c r="I66" i="1"/>
  <c r="H66" i="1"/>
  <c r="G66" i="1"/>
  <c r="P65" i="1"/>
  <c r="N65" i="1"/>
  <c r="M65" i="1"/>
  <c r="L65" i="1"/>
  <c r="K65" i="1"/>
  <c r="J65" i="1"/>
  <c r="I65" i="1"/>
  <c r="H65" i="1"/>
  <c r="G65" i="1"/>
  <c r="P64" i="1"/>
  <c r="N64" i="1"/>
  <c r="M64" i="1"/>
  <c r="L64" i="1"/>
  <c r="K64" i="1"/>
  <c r="J64" i="1"/>
  <c r="I64" i="1"/>
  <c r="H64" i="1"/>
  <c r="G64" i="1"/>
  <c r="P63" i="1"/>
  <c r="N63" i="1"/>
  <c r="M63" i="1"/>
  <c r="L63" i="1"/>
  <c r="K63" i="1"/>
  <c r="J63" i="1"/>
  <c r="I63" i="1"/>
  <c r="H63" i="1"/>
  <c r="G63" i="1"/>
  <c r="P62" i="1"/>
  <c r="N62" i="1"/>
  <c r="M62" i="1"/>
  <c r="L62" i="1"/>
  <c r="K62" i="1"/>
  <c r="J62" i="1"/>
  <c r="I62" i="1"/>
  <c r="H62" i="1"/>
  <c r="G62" i="1"/>
  <c r="P61" i="1"/>
  <c r="N61" i="1"/>
  <c r="M61" i="1"/>
  <c r="L61" i="1"/>
  <c r="K61" i="1"/>
  <c r="J61" i="1"/>
  <c r="I61" i="1"/>
  <c r="H61" i="1"/>
  <c r="G61" i="1"/>
  <c r="P60" i="1"/>
  <c r="N60" i="1"/>
  <c r="M60" i="1"/>
  <c r="L60" i="1"/>
  <c r="K60" i="1"/>
  <c r="J60" i="1"/>
  <c r="I60" i="1"/>
  <c r="H60" i="1"/>
  <c r="G60" i="1"/>
  <c r="P59" i="1"/>
  <c r="N59" i="1"/>
  <c r="M59" i="1"/>
  <c r="L59" i="1"/>
  <c r="K59" i="1"/>
  <c r="J59" i="1"/>
  <c r="I59" i="1"/>
  <c r="H59" i="1"/>
  <c r="G59" i="1"/>
  <c r="P58" i="1"/>
  <c r="N58" i="1"/>
  <c r="M58" i="1"/>
  <c r="L58" i="1"/>
  <c r="K58" i="1"/>
  <c r="J58" i="1"/>
  <c r="I58" i="1"/>
  <c r="H58" i="1"/>
  <c r="G58" i="1"/>
  <c r="P57" i="1"/>
  <c r="N57" i="1"/>
  <c r="M57" i="1"/>
  <c r="L57" i="1"/>
  <c r="K57" i="1"/>
  <c r="J57" i="1"/>
  <c r="I57" i="1"/>
  <c r="H57" i="1"/>
  <c r="G57" i="1"/>
  <c r="P56" i="1"/>
  <c r="N56" i="1"/>
  <c r="M56" i="1"/>
  <c r="L56" i="1"/>
  <c r="K56" i="1"/>
  <c r="J56" i="1"/>
  <c r="I56" i="1"/>
  <c r="H56" i="1"/>
  <c r="G56" i="1"/>
  <c r="P55" i="1"/>
  <c r="N55" i="1"/>
  <c r="M55" i="1"/>
  <c r="L55" i="1"/>
  <c r="K55" i="1"/>
  <c r="J55" i="1"/>
  <c r="I55" i="1"/>
  <c r="H55" i="1"/>
  <c r="G55" i="1"/>
  <c r="P54" i="1"/>
  <c r="N54" i="1"/>
  <c r="M54" i="1"/>
  <c r="L54" i="1"/>
  <c r="K54" i="1"/>
  <c r="J54" i="1"/>
  <c r="I54" i="1"/>
  <c r="H54" i="1"/>
  <c r="G54" i="1"/>
  <c r="P53" i="1"/>
  <c r="N53" i="1"/>
  <c r="M53" i="1"/>
  <c r="L53" i="1"/>
  <c r="K53" i="1"/>
  <c r="J53" i="1"/>
  <c r="I53" i="1"/>
  <c r="H53" i="1"/>
  <c r="G53" i="1"/>
  <c r="P52" i="1"/>
  <c r="N52" i="1"/>
  <c r="M52" i="1"/>
  <c r="L52" i="1"/>
  <c r="K52" i="1"/>
  <c r="J52" i="1"/>
  <c r="I52" i="1"/>
  <c r="H52" i="1"/>
  <c r="G52" i="1"/>
  <c r="P51" i="1"/>
  <c r="N51" i="1"/>
  <c r="M51" i="1"/>
  <c r="L51" i="1"/>
  <c r="K51" i="1"/>
  <c r="J51" i="1"/>
  <c r="I51" i="1"/>
  <c r="H51" i="1"/>
  <c r="G51" i="1"/>
  <c r="P50" i="1"/>
  <c r="N50" i="1"/>
  <c r="M50" i="1"/>
  <c r="L50" i="1"/>
  <c r="K50" i="1"/>
  <c r="J50" i="1"/>
  <c r="I50" i="1"/>
  <c r="H50" i="1"/>
  <c r="G50" i="1"/>
  <c r="P49" i="1"/>
  <c r="N49" i="1"/>
  <c r="M49" i="1"/>
  <c r="L49" i="1"/>
  <c r="K49" i="1"/>
  <c r="J49" i="1"/>
  <c r="I49" i="1"/>
  <c r="H49" i="1"/>
  <c r="G49" i="1"/>
  <c r="P48" i="1"/>
  <c r="N48" i="1"/>
  <c r="M48" i="1"/>
  <c r="L48" i="1"/>
  <c r="K48" i="1"/>
  <c r="J48" i="1"/>
  <c r="I48" i="1"/>
  <c r="H48" i="1"/>
  <c r="G48" i="1"/>
  <c r="P47" i="1"/>
  <c r="N47" i="1"/>
  <c r="M47" i="1"/>
  <c r="L47" i="1"/>
  <c r="K47" i="1"/>
  <c r="J47" i="1"/>
  <c r="I47" i="1"/>
  <c r="H47" i="1"/>
  <c r="G47" i="1"/>
  <c r="P46" i="1"/>
  <c r="N46" i="1"/>
  <c r="M46" i="1"/>
  <c r="L46" i="1"/>
  <c r="K46" i="1"/>
  <c r="J46" i="1"/>
  <c r="I46" i="1"/>
  <c r="H46" i="1"/>
  <c r="G46" i="1"/>
  <c r="P45" i="1"/>
  <c r="N45" i="1"/>
  <c r="M45" i="1"/>
  <c r="L45" i="1"/>
  <c r="K45" i="1"/>
  <c r="J45" i="1"/>
  <c r="I45" i="1"/>
  <c r="H45" i="1"/>
  <c r="G45" i="1"/>
  <c r="P44" i="1"/>
  <c r="N44" i="1"/>
  <c r="M44" i="1"/>
  <c r="L44" i="1"/>
  <c r="K44" i="1"/>
  <c r="J44" i="1"/>
  <c r="I44" i="1"/>
  <c r="H44" i="1"/>
  <c r="G44" i="1"/>
  <c r="P43" i="1"/>
  <c r="N43" i="1"/>
  <c r="M43" i="1"/>
  <c r="L43" i="1"/>
  <c r="K43" i="1"/>
  <c r="J43" i="1"/>
  <c r="I43" i="1"/>
  <c r="H43" i="1"/>
  <c r="G43" i="1"/>
  <c r="P42" i="1"/>
  <c r="N42" i="1"/>
  <c r="M42" i="1"/>
  <c r="L42" i="1"/>
  <c r="K42" i="1"/>
  <c r="J42" i="1"/>
  <c r="I42" i="1"/>
  <c r="H42" i="1"/>
  <c r="G42" i="1"/>
  <c r="P41" i="1"/>
  <c r="N41" i="1"/>
  <c r="M41" i="1"/>
  <c r="L41" i="1"/>
  <c r="K41" i="1"/>
  <c r="J41" i="1"/>
  <c r="I41" i="1"/>
  <c r="H41" i="1"/>
  <c r="G41" i="1"/>
  <c r="P40" i="1"/>
  <c r="N40" i="1"/>
  <c r="M40" i="1"/>
  <c r="L40" i="1"/>
  <c r="K40" i="1"/>
  <c r="J40" i="1"/>
  <c r="I40" i="1"/>
  <c r="H40" i="1"/>
  <c r="G40" i="1"/>
  <c r="P39" i="1"/>
  <c r="N39" i="1"/>
  <c r="M39" i="1"/>
  <c r="L39" i="1"/>
  <c r="K39" i="1"/>
  <c r="J39" i="1"/>
  <c r="I39" i="1"/>
  <c r="H39" i="1"/>
  <c r="G39" i="1"/>
  <c r="P38" i="1"/>
  <c r="N38" i="1"/>
  <c r="M38" i="1"/>
  <c r="L38" i="1"/>
  <c r="K38" i="1"/>
  <c r="J38" i="1"/>
  <c r="I38" i="1"/>
  <c r="H38" i="1"/>
  <c r="G38" i="1"/>
  <c r="P37" i="1"/>
  <c r="N37" i="1"/>
  <c r="M37" i="1"/>
  <c r="L37" i="1"/>
  <c r="K37" i="1"/>
  <c r="J37" i="1"/>
  <c r="I37" i="1"/>
  <c r="H37" i="1"/>
  <c r="G37" i="1"/>
  <c r="P36" i="1"/>
  <c r="N36" i="1"/>
  <c r="M36" i="1"/>
  <c r="L36" i="1"/>
  <c r="K36" i="1"/>
  <c r="J36" i="1"/>
  <c r="I36" i="1"/>
  <c r="H36" i="1"/>
  <c r="G36" i="1"/>
  <c r="P35" i="1"/>
  <c r="N35" i="1"/>
  <c r="M35" i="1"/>
  <c r="L35" i="1"/>
  <c r="K35" i="1"/>
  <c r="J35" i="1"/>
  <c r="I35" i="1"/>
  <c r="H35" i="1"/>
  <c r="G35" i="1"/>
  <c r="P34" i="1"/>
  <c r="N34" i="1"/>
  <c r="M34" i="1"/>
  <c r="L34" i="1"/>
  <c r="K34" i="1"/>
  <c r="J34" i="1"/>
  <c r="I34" i="1"/>
  <c r="H34" i="1"/>
  <c r="G34" i="1"/>
  <c r="P33" i="1"/>
  <c r="N33" i="1"/>
  <c r="M33" i="1"/>
  <c r="L33" i="1"/>
  <c r="K33" i="1"/>
  <c r="J33" i="1"/>
  <c r="I33" i="1"/>
  <c r="H33" i="1"/>
  <c r="G33" i="1"/>
  <c r="P32" i="1"/>
  <c r="N32" i="1"/>
  <c r="M32" i="1"/>
  <c r="L32" i="1"/>
  <c r="K32" i="1"/>
  <c r="J32" i="1"/>
  <c r="I32" i="1"/>
  <c r="H32" i="1"/>
  <c r="G32" i="1"/>
  <c r="P31" i="1"/>
  <c r="N31" i="1"/>
  <c r="M31" i="1"/>
  <c r="L31" i="1"/>
  <c r="K31" i="1"/>
  <c r="J31" i="1"/>
  <c r="I31" i="1"/>
  <c r="H31" i="1"/>
  <c r="G31" i="1"/>
  <c r="P30" i="1"/>
  <c r="N30" i="1"/>
  <c r="M30" i="1"/>
  <c r="L30" i="1"/>
  <c r="K30" i="1"/>
  <c r="J30" i="1"/>
  <c r="I30" i="1"/>
  <c r="H30" i="1"/>
  <c r="G30" i="1"/>
  <c r="P29" i="1"/>
  <c r="N29" i="1"/>
  <c r="M29" i="1"/>
  <c r="L29" i="1"/>
  <c r="K29" i="1"/>
  <c r="J29" i="1"/>
  <c r="I29" i="1"/>
  <c r="H29" i="1"/>
  <c r="G29" i="1"/>
  <c r="P28" i="1"/>
  <c r="N28" i="1"/>
  <c r="M28" i="1"/>
  <c r="L28" i="1"/>
  <c r="K28" i="1"/>
  <c r="J28" i="1"/>
  <c r="I28" i="1"/>
  <c r="H28" i="1"/>
  <c r="G28" i="1"/>
  <c r="P27" i="1"/>
  <c r="N27" i="1"/>
  <c r="M27" i="1"/>
  <c r="L27" i="1"/>
  <c r="K27" i="1"/>
  <c r="J27" i="1"/>
  <c r="I27" i="1"/>
  <c r="H27" i="1"/>
  <c r="G27" i="1"/>
  <c r="P26" i="1"/>
  <c r="N26" i="1"/>
  <c r="M26" i="1"/>
  <c r="L26" i="1"/>
  <c r="K26" i="1"/>
  <c r="J26" i="1"/>
  <c r="I26" i="1"/>
  <c r="H26" i="1"/>
  <c r="G26" i="1"/>
  <c r="P25" i="1"/>
  <c r="N25" i="1"/>
  <c r="M25" i="1"/>
  <c r="L25" i="1"/>
  <c r="K25" i="1"/>
  <c r="J25" i="1"/>
  <c r="I25" i="1"/>
  <c r="H25" i="1"/>
  <c r="G25" i="1"/>
  <c r="P24" i="1"/>
  <c r="N24" i="1"/>
  <c r="M24" i="1"/>
  <c r="L24" i="1"/>
  <c r="K24" i="1"/>
  <c r="J24" i="1"/>
  <c r="I24" i="1"/>
  <c r="H24" i="1"/>
  <c r="G24" i="1"/>
  <c r="P23" i="1"/>
  <c r="N23" i="1"/>
  <c r="M23" i="1"/>
  <c r="L23" i="1"/>
  <c r="K23" i="1"/>
  <c r="J23" i="1"/>
  <c r="I23" i="1"/>
  <c r="H23" i="1"/>
  <c r="G23" i="1"/>
  <c r="P22" i="1"/>
  <c r="N22" i="1"/>
  <c r="M22" i="1"/>
  <c r="L22" i="1"/>
  <c r="K22" i="1"/>
  <c r="J22" i="1"/>
  <c r="I22" i="1"/>
  <c r="H22" i="1"/>
  <c r="G22" i="1"/>
  <c r="P21" i="1"/>
  <c r="N21" i="1"/>
  <c r="M21" i="1"/>
  <c r="L21" i="1"/>
  <c r="K21" i="1"/>
  <c r="J21" i="1"/>
  <c r="I21" i="1"/>
  <c r="H21" i="1"/>
  <c r="G21" i="1"/>
  <c r="P20" i="1"/>
  <c r="N20" i="1"/>
  <c r="M20" i="1"/>
  <c r="L20" i="1"/>
  <c r="K20" i="1"/>
  <c r="J20" i="1"/>
  <c r="I20" i="1"/>
  <c r="H20" i="1"/>
  <c r="G20" i="1"/>
  <c r="P19" i="1"/>
  <c r="N19" i="1"/>
  <c r="M19" i="1"/>
  <c r="L19" i="1"/>
  <c r="K19" i="1"/>
  <c r="J19" i="1"/>
  <c r="I19" i="1"/>
  <c r="H19" i="1"/>
  <c r="G19" i="1"/>
  <c r="P18" i="1"/>
  <c r="N18" i="1"/>
  <c r="M18" i="1"/>
  <c r="L18" i="1"/>
  <c r="K18" i="1"/>
  <c r="J18" i="1"/>
  <c r="I18" i="1"/>
  <c r="H18" i="1"/>
  <c r="G18" i="1"/>
  <c r="P17" i="1"/>
  <c r="N17" i="1"/>
  <c r="M17" i="1"/>
  <c r="L17" i="1"/>
  <c r="K17" i="1"/>
  <c r="J17" i="1"/>
  <c r="I17" i="1"/>
  <c r="H17" i="1"/>
  <c r="G17" i="1"/>
  <c r="P16" i="1"/>
  <c r="N16" i="1"/>
  <c r="M16" i="1"/>
  <c r="L16" i="1"/>
  <c r="K16" i="1"/>
  <c r="J16" i="1"/>
  <c r="I16" i="1"/>
  <c r="H16" i="1"/>
  <c r="G16" i="1"/>
  <c r="P15" i="1"/>
  <c r="P14" i="1"/>
  <c r="N14" i="1"/>
  <c r="M14" i="1"/>
  <c r="L14" i="1"/>
  <c r="K14" i="1"/>
  <c r="J14" i="1"/>
  <c r="I14" i="1"/>
  <c r="H14" i="1"/>
  <c r="G14" i="1"/>
  <c r="P13" i="1"/>
  <c r="N13" i="1"/>
  <c r="M13" i="1"/>
  <c r="L13" i="1"/>
  <c r="K13" i="1"/>
  <c r="J13" i="1"/>
  <c r="I13" i="1"/>
  <c r="H13" i="1"/>
  <c r="G13" i="1"/>
  <c r="P12" i="1"/>
  <c r="N12" i="1"/>
  <c r="M12" i="1"/>
  <c r="L12" i="1"/>
  <c r="K12" i="1"/>
  <c r="J12" i="1"/>
  <c r="I12" i="1"/>
  <c r="H12" i="1"/>
  <c r="G12" i="1"/>
  <c r="P11" i="1"/>
  <c r="N11" i="1"/>
  <c r="M11" i="1"/>
  <c r="L11" i="1"/>
  <c r="K11" i="1"/>
  <c r="J11" i="1"/>
  <c r="I11" i="1"/>
  <c r="H11" i="1"/>
  <c r="G11" i="1"/>
  <c r="P10" i="1"/>
  <c r="N10" i="1"/>
  <c r="M10" i="1"/>
  <c r="L10" i="1"/>
  <c r="K10" i="1"/>
  <c r="J10" i="1"/>
  <c r="I10" i="1"/>
  <c r="H10" i="1"/>
  <c r="G10" i="1"/>
  <c r="P9" i="1"/>
  <c r="N9" i="1"/>
  <c r="M9" i="1"/>
  <c r="L9" i="1"/>
  <c r="K9" i="1"/>
  <c r="J9" i="1"/>
  <c r="I9" i="1"/>
  <c r="H9" i="1"/>
  <c r="G9" i="1"/>
  <c r="P8" i="1"/>
  <c r="N8" i="1"/>
  <c r="M8" i="1"/>
  <c r="L8" i="1"/>
  <c r="K8" i="1"/>
  <c r="J8" i="1"/>
  <c r="I8" i="1"/>
  <c r="H8" i="1"/>
  <c r="G8" i="1"/>
  <c r="P7" i="1"/>
  <c r="N7" i="1"/>
  <c r="M7" i="1"/>
  <c r="L7" i="1"/>
  <c r="K7" i="1"/>
  <c r="J7" i="1"/>
  <c r="I7" i="1"/>
  <c r="H7" i="1"/>
  <c r="G7" i="1"/>
  <c r="P6" i="1"/>
  <c r="K6" i="1"/>
  <c r="P5" i="1"/>
  <c r="N5" i="1"/>
  <c r="M5" i="1"/>
  <c r="L5" i="1"/>
  <c r="K5" i="1"/>
  <c r="J5" i="1"/>
  <c r="I5" i="1"/>
  <c r="H5" i="1"/>
  <c r="G5" i="1"/>
  <c r="O3" i="1" l="1"/>
  <c r="P78" i="1"/>
</calcChain>
</file>

<file path=xl/sharedStrings.xml><?xml version="1.0" encoding="utf-8"?>
<sst xmlns="http://schemas.openxmlformats.org/spreadsheetml/2006/main" count="244" uniqueCount="104">
  <si>
    <t>MAPA DE APURAÇÃO DE PREÇOS</t>
  </si>
  <si>
    <t>DATA</t>
  </si>
  <si>
    <t>OBJETO</t>
  </si>
  <si>
    <t>VALOR TOTAL</t>
  </si>
  <si>
    <t>30/06/2025</t>
  </si>
  <si>
    <t xml:space="preserve">MATERIAIS GERAIS </t>
  </si>
  <si>
    <t>ANEXO</t>
  </si>
  <si>
    <t>LOTE</t>
  </si>
  <si>
    <t>ITEM</t>
  </si>
  <si>
    <t>PRODUTO / SERVIÇO</t>
  </si>
  <si>
    <t>UNIDADE</t>
  </si>
  <si>
    <t>QTDE.</t>
  </si>
  <si>
    <t>CONTRATAÇÕES SIMILARES (OUTROS ÓRGÃOS)</t>
  </si>
  <si>
    <t>PAINEL DE PREÇOS</t>
  </si>
  <si>
    <t>LICITANET</t>
  </si>
  <si>
    <t>PORTAL DE COMPRAS PÚBLICAS</t>
  </si>
  <si>
    <t>BLL</t>
  </si>
  <si>
    <t>PORTAL NACIONAL DE CONTRATAÇÕES PÚBLICAS</t>
  </si>
  <si>
    <t>PORTAL DA TRANSPARÊNCIA - CGU - NFE</t>
  </si>
  <si>
    <t>BOLSA NACIONAL DE COMPRAS</t>
  </si>
  <si>
    <t>MÉDIA ARITMÉTICA</t>
  </si>
  <si>
    <t>TOTAL</t>
  </si>
  <si>
    <t>I</t>
  </si>
  <si>
    <t>EXTRATOR DE GRAMPO</t>
  </si>
  <si>
    <t>UND</t>
  </si>
  <si>
    <t>BOLACHA ROSQUINHA 500G</t>
  </si>
  <si>
    <t>CX</t>
  </si>
  <si>
    <t>MARGARINA 500G</t>
  </si>
  <si>
    <t>CAFÉ - Café em pó torrado e moído, moagem fina e uniforme, embalagem pacote de 250g. Validade mínima 12 (doze) meses a contar da data de entrega. Fd c/20 um</t>
  </si>
  <si>
    <t>FD</t>
  </si>
  <si>
    <t>COPO DESCARTÁVEL 200ML - Item com Cx com 25 unidades de 100 copos, cada caixa</t>
  </si>
  <si>
    <t>BOLACHA DE SAL CREAM CRACKER 400G - BOLACHA DE SAL - Biscoito Cream Cracker 400g- O biscoito deverá ser fabricado a partir das matérias primas sãs e limpas, isenta de matérias terrosas, parasitas e em perfeito estado de conservação, serão rejeitados biscoitos malcozidos, queimados e de caracteres organolépticos anormais, apresentando aspecto: crocante e macio; cor: dourada; odor: próprio; sabor: agradável ao paladar. Embalagem primaria em pacotes impermeáveis lacrados com peso líquido de 600g com dupla embalagem. Validade mínima de 6 meses. Cx c/20 um</t>
  </si>
  <si>
    <t>AÇUCAR - Açúcar, da classe Cristal branco, do tipo Cristal, acondicionado em embalagem plástica resistente e reciclável, Unid. Pacote Quant. 200 hermeticamente fechada, contendo 2kg. A embalagem deverá conter, dentre outros, a marca do produto; data de fabricação e prazo de validade; número do telefone de atendimento ao consumidor. O produto deverá possuir registro no Ministério da Agricultura. Marca de referência de qualidade: União, Guarani, equivalente ou de melhor qualidade. FD 15UN</t>
  </si>
  <si>
    <t>SABÃO EM PÓ 1KG - SABÃO EM PÓ - Características: Composto de alquil benzeno, sulfonato, tripolifosfato, silicatoe carbonato de sodio, carboxilmetilcelulose sodica especial. eliminador bactericida de germes, fungos e virus. Teor: com pigmento azul 4,4'bis (2 sulfoestiril bifenil dissodico) ácido 4,4'diameno estilbeno 2,2' dissulfonico. Coloração: na cor azul, polimeros acrilico, enzimas, perfume e agua Acondicionado em caixa contendo 1kg. Cx 20un;</t>
  </si>
  <si>
    <t>ÁGUA SANITÁRIA - Características: solução aquosa, produto à base de hipoclorito de sódio ou cálcio, com teor de cloro ativo 2,0% a 2,5% p/p, embalado em frasco plástico de 01 litro. Cx 12 um;</t>
  </si>
  <si>
    <t>ALCOOL - Álcool etílico hidratado 92,8°.Embalagem plástica de 1 litro, tampa com rosca. Constar na embalagem a marca do produto, nome do fabricante, com endereço completo, telefone e o responsável técnico pelo produto. Possuir selo do INMETRO. Cx 12un;</t>
  </si>
  <si>
    <t>DETERGENTE 500ML</t>
  </si>
  <si>
    <t>ESPONJA DE LIMPEZA</t>
  </si>
  <si>
    <t>SACO  LIXO 30LTS - 15 , Fardo com 25 pacotes com 10 unidades cada;</t>
  </si>
  <si>
    <t>PCT</t>
  </si>
  <si>
    <t>SACO LIXO 50LTS - Fardo com 25 pacotes com 10 unidades cada</t>
  </si>
  <si>
    <t>SACO LIXO 100LTS - Fardo com 25 pacotes com 10 unidades cada</t>
  </si>
  <si>
    <t>ESPONJA DE AÇO - Características: Esponja de Aço, fardo com 14 unidades com 8 esponja, Para limpeza de superfícies com sujeiras difíceis e polimento de objetos de alumínio, principalmente utensílios domésticos.</t>
  </si>
  <si>
    <t>DESINFETANTE - Características: tivo, tenso ativo não iônico, solventes, antioxidante, fragrância Frasco, veículo e propelente. Embalagem plástica de 2 litros.CX C/6;</t>
  </si>
  <si>
    <t>BALDE 10 A 12LTS</t>
  </si>
  <si>
    <t>PANO CHÃO</t>
  </si>
  <si>
    <t>RODO DE METAL 60CM</t>
  </si>
  <si>
    <t>PAPEL HIGIÊNICO PC/4 ROLOS FOLHA DUPLA</t>
  </si>
  <si>
    <t>FLANELA</t>
  </si>
  <si>
    <t>SABÃO DE BARRA - Características: Composto de Ácidos graxos vegetais animais soponificados, água, glicerina e sequestrantes. Pacote com 05 unidades. Cx 10un</t>
  </si>
  <si>
    <t>VASSOURA DE PELO</t>
  </si>
  <si>
    <t>BOM AR – odorizador de ambientes aerosol 360 ml; fragrancia de lavanda; utilizado para remover odores desagradaveis e neutralizar maus odores. cx 12 um</t>
  </si>
  <si>
    <t>CERA LIQUIDA AMARELA-750 ml; produto utilizado para proteger, dá brilho e reavivar a cor do piso cx 12 um;</t>
  </si>
  <si>
    <t>BALÃO LATEX N05 CORES VARIADAS -  (pacote com 50 unidades) cx25pcts</t>
  </si>
  <si>
    <t xml:space="preserve">BALÃO LATEX N09 CORES VARIADAS  (pacote com 50 unidades) cx25pcts </t>
  </si>
  <si>
    <t xml:space="preserve">BALÃO LATEX N11 CORES VARIADAS  (pacote com 50 unidades) cx25pcts </t>
  </si>
  <si>
    <t xml:space="preserve">BALÃO LATEX N16 CORES VARIADAS   (pacote com 50 unidades) cx25pcts </t>
  </si>
  <si>
    <t>BARBANTE ALGODÃO FIO 06</t>
  </si>
  <si>
    <t>BALINHA DE CORAÇÃO -  Pacote com 50 unidades</t>
  </si>
  <si>
    <t>BOMBOM SONHO DE VALSA Pacote com 50 unidades</t>
  </si>
  <si>
    <t xml:space="preserve">PIRULITO  Pacote com 50 unidades </t>
  </si>
  <si>
    <t>CADERNO ESCOLAR 48 FLS CAPA DURA</t>
  </si>
  <si>
    <t>CADERNO ESCOLAR 96 FLS CAPA DURA</t>
  </si>
  <si>
    <t>CANETA ESFEREOGRÁFICA PRETA - caneta esferográfica ponta grossa cor preta caixa com 50 unidades;</t>
  </si>
  <si>
    <t>LÁPIS DE COR ESCOLAR C/12</t>
  </si>
  <si>
    <t>CADERNO ESCOLAR 12 MATÉRIAS</t>
  </si>
  <si>
    <t>APAGADOR PRA QUADRO BCO 146X50X27</t>
  </si>
  <si>
    <t>BASTÃO DE COLA QUENTE REFIL FINO - mínimo 30 cm. (1 pacote de 1 kg)</t>
  </si>
  <si>
    <t>BASTÃO DE COLA QUENTE REFIL GROSSO - mínimo 30 cm. (1 pacote de 1 kg)</t>
  </si>
  <si>
    <t>caneta esferográfica cor vermelha ponta grossa a caixa com 50 unidades</t>
  </si>
  <si>
    <t>CARTOLINA CORES DIVERSAS</t>
  </si>
  <si>
    <t>COLA BRANCA 90GMS - Caixa cola branca 6 uidades cada caixa.</t>
  </si>
  <si>
    <t>Cola alto relevo (cx com 6 unid.);</t>
  </si>
  <si>
    <t>COLA BRANCA 1LT - Caixa cola branca 6 uidades cada caixa.</t>
  </si>
  <si>
    <t>Cola instatânea tek bond. (1 cx com 10un);</t>
  </si>
  <si>
    <t>Cola para isopor. (1 cx com 12 unidades)</t>
  </si>
  <si>
    <t>COLA GLITTER C/6 UM</t>
  </si>
  <si>
    <t>Corretivo líquido CX C/12</t>
  </si>
  <si>
    <t>ENVELOPE OFÍCIO A4 PARDO SCRITY CX C/100</t>
  </si>
  <si>
    <t>E.V.A GLITTER 40X60 CORES azul,verde, vermelho, amarelo,bco, preto,prata dourado e rosa</t>
  </si>
  <si>
    <t>E.V.A ATOALHADO 40X48 CORES azul,verde, vermelho, amarelo,bco, preto</t>
  </si>
  <si>
    <t>E.V.A SIMPLES/LISO 40X60 CORES azul,verde,vermelho,amarelo,branco, preto e rosa</t>
  </si>
  <si>
    <t>FITA ADESIVA TRANP. 18MMX50M</t>
  </si>
  <si>
    <t>FITA ADESIVA DE PAPEL KRAFT MARROM, 5CMX50</t>
  </si>
  <si>
    <t>FITA ADESIVA TRANP. 48MMX100M</t>
  </si>
  <si>
    <t>FITA DUPLA FACE FINA - Minímo 30 mt.</t>
  </si>
  <si>
    <t>FITA DUPLA FACE GROSSA - Minímo 30 mt.</t>
  </si>
  <si>
    <t>FITA CREPE 18X50</t>
  </si>
  <si>
    <t>Fitilho cores variadas. (50 mts)</t>
  </si>
  <si>
    <t>GIZ DE CERA</t>
  </si>
  <si>
    <t>GRAMPEADOR P/ 100FLS</t>
  </si>
  <si>
    <t>ISQUEIRO</t>
  </si>
  <si>
    <t>COADOR DE CAFÉ GRANDE</t>
  </si>
  <si>
    <t>VARAL CABO DE AÇO 20MTS</t>
  </si>
  <si>
    <t>BOTA PRETA BORRACHA CANO LONGO N40</t>
  </si>
  <si>
    <t>PAR</t>
  </si>
  <si>
    <t>BOTA PRETA BORRACHA CANO LONGO N41</t>
  </si>
  <si>
    <t>BOTA PRETA BORRACHA CANO LONGO N42</t>
  </si>
  <si>
    <t>BOTA PRETA BORRACHA CANO LONGO N35</t>
  </si>
  <si>
    <t>LIXEIRA PLÁSTICA C/TAMPA E PEDAL 20LTS</t>
  </si>
  <si>
    <t>ESGUINCHO PARA MANGUEIRA METAL</t>
  </si>
  <si>
    <t>VALOR TOTAL DO LOTE</t>
  </si>
  <si>
    <t>/////</t>
  </si>
  <si>
    <t>VALOR TOTAL: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</si>
</sst>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R$ &quot;#,##0.00;[Red]\-&quot;R$ &quot;#,##0.00"/>
  </numFmts>
  <fonts count="4" x14ac:knownFonts="1">
    <font>
      <sz val="11"/>
      <color theme="1"/>
      <name val="Calibri"/>
      <family val="2"/>
      <scheme val="minor"/>
    </font>
    <font>
      <sz val="8"/>
      <name val="Calibri"/>
    </font>
    <font>
      <b/>
      <sz val="8"/>
      <name val="Calibri"/>
    </font>
    <font>
      <b/>
      <sz val="12"/>
      <name val="Calibri"/>
    </font>
  </fonts>
  <fills count="3">
    <fill>
      <patternFill patternType="none"/>
    </fill>
    <fill>
      <patternFill patternType="gray125"/>
    </fill>
    <fill>
      <patternFill patternType="solid">
        <fgColor auto="1"/>
        <bgColor auto="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/>
    <xf numFmtId="0" fontId="1" fillId="0" borderId="1" xfId="0" applyFont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right" vertical="center" wrapText="1"/>
    </xf>
    <xf numFmtId="4" fontId="1" fillId="2" borderId="1" xfId="0" applyNumberFormat="1" applyFont="1" applyFill="1" applyBorder="1" applyAlignment="1">
      <alignment horizontal="right" vertical="center" wrapText="1"/>
    </xf>
    <xf numFmtId="4" fontId="1" fillId="0" borderId="1" xfId="0" applyNumberFormat="1" applyFont="1" applyBorder="1" applyAlignment="1">
      <alignment horizontal="right" vertical="center" wrapText="1"/>
    </xf>
    <xf numFmtId="3" fontId="1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0" fontId="1" fillId="0" borderId="0" xfId="0" applyFont="1" applyAlignment="1">
      <alignment horizontal="right" vertical="center" wrapText="1"/>
    </xf>
    <xf numFmtId="164" fontId="3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164" fontId="2" fillId="0" borderId="0" xfId="0" applyNumberFormat="1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79"/>
  <sheetViews>
    <sheetView showGridLines="0" tabSelected="1" workbookViewId="0">
      <selection activeCell="K82" sqref="K82"/>
    </sheetView>
  </sheetViews>
  <sheetFormatPr defaultRowHeight="15" x14ac:dyDescent="0.25"/>
  <cols>
    <col min="1" max="3" width="3" style="1" customWidth="1"/>
    <col min="4" max="4" width="60" style="1" customWidth="1"/>
    <col min="5" max="5" width="10" style="1" customWidth="1"/>
    <col min="6" max="14" width="8" style="1" customWidth="1"/>
    <col min="15" max="15" width="10" style="1" customWidth="1"/>
    <col min="16" max="16" width="12" style="1" customWidth="1"/>
  </cols>
  <sheetData>
    <row r="1" spans="1:16" s="2" customFormat="1" ht="11.25" x14ac:dyDescent="0.25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x14ac:dyDescent="0.25">
      <c r="A2" s="15" t="s">
        <v>1</v>
      </c>
      <c r="B2" s="15"/>
      <c r="C2" s="15"/>
      <c r="D2" s="16" t="s">
        <v>2</v>
      </c>
      <c r="E2" s="16"/>
      <c r="F2" s="16"/>
      <c r="G2" s="16"/>
      <c r="H2" s="16"/>
      <c r="I2" s="16"/>
      <c r="J2" s="16"/>
      <c r="K2" s="16"/>
      <c r="L2" s="16"/>
      <c r="M2" s="16"/>
      <c r="N2" s="16"/>
      <c r="O2" s="15" t="s">
        <v>3</v>
      </c>
      <c r="P2" s="15"/>
    </row>
    <row r="3" spans="1:16" s="3" customFormat="1" ht="11.25" x14ac:dyDescent="0.2">
      <c r="A3" s="14" t="s">
        <v>4</v>
      </c>
      <c r="B3" s="14"/>
      <c r="C3" s="14"/>
      <c r="D3" s="17" t="s">
        <v>5</v>
      </c>
      <c r="E3" s="17"/>
      <c r="F3" s="17"/>
      <c r="G3" s="17"/>
      <c r="H3" s="17"/>
      <c r="I3" s="17"/>
      <c r="J3" s="17"/>
      <c r="K3" s="17"/>
      <c r="L3" s="17"/>
      <c r="M3" s="17"/>
      <c r="N3" s="17"/>
      <c r="O3" s="18">
        <f>SUM(P5:P77)</f>
        <v>217651.87999999986</v>
      </c>
      <c r="P3" s="18"/>
    </row>
    <row r="4" spans="1:16" ht="69.95" customHeight="1" x14ac:dyDescent="0.25">
      <c r="A4" s="4" t="s">
        <v>6</v>
      </c>
      <c r="B4" s="4" t="s">
        <v>7</v>
      </c>
      <c r="C4" s="4" t="s">
        <v>8</v>
      </c>
      <c r="D4" s="5" t="s">
        <v>9</v>
      </c>
      <c r="E4" s="5" t="s">
        <v>10</v>
      </c>
      <c r="F4" s="5" t="s">
        <v>11</v>
      </c>
      <c r="G4" s="4" t="s">
        <v>12</v>
      </c>
      <c r="H4" s="4" t="s">
        <v>13</v>
      </c>
      <c r="I4" s="4" t="s">
        <v>14</v>
      </c>
      <c r="J4" s="4" t="s">
        <v>15</v>
      </c>
      <c r="K4" s="4" t="s">
        <v>16</v>
      </c>
      <c r="L4" s="4" t="s">
        <v>17</v>
      </c>
      <c r="M4" s="4" t="s">
        <v>18</v>
      </c>
      <c r="N4" s="4" t="s">
        <v>19</v>
      </c>
      <c r="O4" s="5" t="s">
        <v>20</v>
      </c>
      <c r="P4" s="5" t="s">
        <v>21</v>
      </c>
    </row>
    <row r="5" spans="1:16" x14ac:dyDescent="0.25">
      <c r="A5" s="5" t="s">
        <v>22</v>
      </c>
      <c r="B5" s="5">
        <v>1</v>
      </c>
      <c r="C5" s="5">
        <v>1</v>
      </c>
      <c r="D5" s="6" t="s">
        <v>23</v>
      </c>
      <c r="E5" s="5" t="s">
        <v>24</v>
      </c>
      <c r="F5" s="7">
        <v>50</v>
      </c>
      <c r="G5" s="8">
        <f>3.95</f>
        <v>3.95</v>
      </c>
      <c r="H5" s="9" t="str">
        <f>"/////"</f>
        <v>/////</v>
      </c>
      <c r="I5" s="8">
        <f>3.47</f>
        <v>3.47</v>
      </c>
      <c r="J5" s="8">
        <f>3.64</f>
        <v>3.64</v>
      </c>
      <c r="K5" s="8">
        <f>3.39</f>
        <v>3.39</v>
      </c>
      <c r="L5" s="8">
        <f>3.45</f>
        <v>3.45</v>
      </c>
      <c r="M5" s="8">
        <f>3.4</f>
        <v>3.4</v>
      </c>
      <c r="N5" s="8">
        <f>3.73</f>
        <v>3.73</v>
      </c>
      <c r="O5" s="9">
        <v>3.58</v>
      </c>
      <c r="P5" s="9">
        <f t="shared" ref="P5:P36" si="0">SUM(IF(ISERROR(F5*ROUND(O5,2)),0,F5*ROUND(O5,2)))</f>
        <v>179</v>
      </c>
    </row>
    <row r="6" spans="1:16" x14ac:dyDescent="0.25">
      <c r="A6" s="5" t="s">
        <v>22</v>
      </c>
      <c r="B6" s="5">
        <v>1</v>
      </c>
      <c r="C6" s="5">
        <v>2</v>
      </c>
      <c r="D6" s="6" t="s">
        <v>25</v>
      </c>
      <c r="E6" s="5" t="s">
        <v>26</v>
      </c>
      <c r="F6" s="7">
        <v>12</v>
      </c>
      <c r="G6" s="8">
        <v>158.4</v>
      </c>
      <c r="H6" s="8">
        <v>160</v>
      </c>
      <c r="I6" s="8">
        <v>170</v>
      </c>
      <c r="J6" s="8">
        <v>172</v>
      </c>
      <c r="K6" s="9" t="str">
        <f>"/////"</f>
        <v>/////</v>
      </c>
      <c r="L6" s="8">
        <v>160</v>
      </c>
      <c r="M6" s="8">
        <v>177.4</v>
      </c>
      <c r="N6" s="8">
        <v>170</v>
      </c>
      <c r="O6" s="9">
        <v>166.82</v>
      </c>
      <c r="P6" s="9">
        <f t="shared" si="0"/>
        <v>2001.84</v>
      </c>
    </row>
    <row r="7" spans="1:16" x14ac:dyDescent="0.25">
      <c r="A7" s="5" t="s">
        <v>22</v>
      </c>
      <c r="B7" s="5">
        <v>1</v>
      </c>
      <c r="C7" s="5">
        <v>3</v>
      </c>
      <c r="D7" s="6" t="s">
        <v>27</v>
      </c>
      <c r="E7" s="5" t="s">
        <v>24</v>
      </c>
      <c r="F7" s="7">
        <v>36</v>
      </c>
      <c r="G7" s="8">
        <f>9.9</f>
        <v>9.9</v>
      </c>
      <c r="H7" s="8">
        <f>10.14</f>
        <v>10.14</v>
      </c>
      <c r="I7" s="8">
        <f>10.07</f>
        <v>10.07</v>
      </c>
      <c r="J7" s="8">
        <f>10.47</f>
        <v>10.47</v>
      </c>
      <c r="K7" s="8">
        <f>10.08</f>
        <v>10.08</v>
      </c>
      <c r="L7" s="8">
        <f>10.9</f>
        <v>10.9</v>
      </c>
      <c r="M7" s="8">
        <f>9.99</f>
        <v>9.99</v>
      </c>
      <c r="N7" s="8">
        <f>10.19</f>
        <v>10.19</v>
      </c>
      <c r="O7" s="9">
        <v>10.220000000000001</v>
      </c>
      <c r="P7" s="9">
        <f t="shared" si="0"/>
        <v>367.92</v>
      </c>
    </row>
    <row r="8" spans="1:16" ht="22.5" x14ac:dyDescent="0.25">
      <c r="A8" s="5" t="s">
        <v>22</v>
      </c>
      <c r="B8" s="5">
        <v>1</v>
      </c>
      <c r="C8" s="5">
        <v>4</v>
      </c>
      <c r="D8" s="6" t="s">
        <v>28</v>
      </c>
      <c r="E8" s="5" t="s">
        <v>29</v>
      </c>
      <c r="F8" s="7">
        <v>71</v>
      </c>
      <c r="G8" s="8">
        <f>464</f>
        <v>464</v>
      </c>
      <c r="H8" s="8">
        <f>500</f>
        <v>500</v>
      </c>
      <c r="I8" s="9" t="str">
        <f>"/////"</f>
        <v>/////</v>
      </c>
      <c r="J8" s="8">
        <f>459.6</f>
        <v>459.6</v>
      </c>
      <c r="K8" s="9" t="str">
        <f>"/////"</f>
        <v>/////</v>
      </c>
      <c r="L8" s="8">
        <f>489.8</f>
        <v>489.8</v>
      </c>
      <c r="M8" s="9" t="str">
        <f>"/////"</f>
        <v>/////</v>
      </c>
      <c r="N8" s="8">
        <f>453.2</f>
        <v>453.2</v>
      </c>
      <c r="O8" s="9">
        <v>473.32</v>
      </c>
      <c r="P8" s="9">
        <f t="shared" si="0"/>
        <v>33605.72</v>
      </c>
    </row>
    <row r="9" spans="1:16" x14ac:dyDescent="0.25">
      <c r="A9" s="5" t="s">
        <v>22</v>
      </c>
      <c r="B9" s="5">
        <v>1</v>
      </c>
      <c r="C9" s="5">
        <v>5</v>
      </c>
      <c r="D9" s="6" t="s">
        <v>30</v>
      </c>
      <c r="E9" s="5" t="s">
        <v>26</v>
      </c>
      <c r="F9" s="7">
        <v>80</v>
      </c>
      <c r="G9" s="8">
        <f>237.5</f>
        <v>237.5</v>
      </c>
      <c r="H9" s="8">
        <f>225</f>
        <v>225</v>
      </c>
      <c r="I9" s="8">
        <f>244.75</f>
        <v>244.75</v>
      </c>
      <c r="J9" s="9" t="str">
        <f>"/////"</f>
        <v>/////</v>
      </c>
      <c r="K9" s="9" t="str">
        <f>"/////"</f>
        <v>/////</v>
      </c>
      <c r="L9" s="8">
        <f>249.5</f>
        <v>249.5</v>
      </c>
      <c r="M9" s="8">
        <f>246</f>
        <v>246</v>
      </c>
      <c r="N9" s="9" t="str">
        <f>"/////"</f>
        <v>/////</v>
      </c>
      <c r="O9" s="9">
        <v>240.55</v>
      </c>
      <c r="P9" s="9">
        <f t="shared" si="0"/>
        <v>19244</v>
      </c>
    </row>
    <row r="10" spans="1:16" ht="90" x14ac:dyDescent="0.25">
      <c r="A10" s="5" t="s">
        <v>22</v>
      </c>
      <c r="B10" s="5">
        <v>1</v>
      </c>
      <c r="C10" s="5">
        <v>6</v>
      </c>
      <c r="D10" s="6" t="s">
        <v>31</v>
      </c>
      <c r="E10" s="5" t="s">
        <v>26</v>
      </c>
      <c r="F10" s="7">
        <v>18</v>
      </c>
      <c r="G10" s="8">
        <f>108.6</f>
        <v>108.6</v>
      </c>
      <c r="H10" s="8">
        <f>101.8</f>
        <v>101.8</v>
      </c>
      <c r="I10" s="8">
        <f>109.6</f>
        <v>109.6</v>
      </c>
      <c r="J10" s="8">
        <f>102.8</f>
        <v>102.8</v>
      </c>
      <c r="K10" s="8">
        <f>103.6</f>
        <v>103.6</v>
      </c>
      <c r="L10" s="8">
        <f>115</f>
        <v>115</v>
      </c>
      <c r="M10" s="9" t="str">
        <f>"/////"</f>
        <v>/////</v>
      </c>
      <c r="N10" s="8">
        <f>106</f>
        <v>106</v>
      </c>
      <c r="O10" s="9">
        <v>106.77</v>
      </c>
      <c r="P10" s="9">
        <f t="shared" si="0"/>
        <v>1921.86</v>
      </c>
    </row>
    <row r="11" spans="1:16" ht="78.75" x14ac:dyDescent="0.25">
      <c r="A11" s="5" t="s">
        <v>22</v>
      </c>
      <c r="B11" s="5">
        <v>1</v>
      </c>
      <c r="C11" s="5">
        <v>7</v>
      </c>
      <c r="D11" s="6" t="s">
        <v>32</v>
      </c>
      <c r="E11" s="5" t="s">
        <v>29</v>
      </c>
      <c r="F11" s="7">
        <v>22</v>
      </c>
      <c r="G11" s="8">
        <f>187.5</f>
        <v>187.5</v>
      </c>
      <c r="H11" s="9" t="str">
        <f>"/////"</f>
        <v>/////</v>
      </c>
      <c r="I11" s="9" t="str">
        <f>"/////"</f>
        <v>/////</v>
      </c>
      <c r="J11" s="8">
        <f>192.75</f>
        <v>192.75</v>
      </c>
      <c r="K11" s="8">
        <f>181.35</f>
        <v>181.35</v>
      </c>
      <c r="L11" s="8">
        <f>187.35</f>
        <v>187.35</v>
      </c>
      <c r="M11" s="8">
        <f>172.95</f>
        <v>172.95</v>
      </c>
      <c r="N11" s="8">
        <f>187.2</f>
        <v>187.2</v>
      </c>
      <c r="O11" s="9">
        <v>184.85</v>
      </c>
      <c r="P11" s="9">
        <f t="shared" si="0"/>
        <v>4066.7</v>
      </c>
    </row>
    <row r="12" spans="1:16" ht="67.5" x14ac:dyDescent="0.25">
      <c r="A12" s="5" t="s">
        <v>22</v>
      </c>
      <c r="B12" s="5">
        <v>1</v>
      </c>
      <c r="C12" s="5">
        <v>8</v>
      </c>
      <c r="D12" s="6" t="s">
        <v>33</v>
      </c>
      <c r="E12" s="5" t="s">
        <v>26</v>
      </c>
      <c r="F12" s="7">
        <v>34</v>
      </c>
      <c r="G12" s="8">
        <f>320</f>
        <v>320</v>
      </c>
      <c r="H12" s="9" t="str">
        <f>"/////"</f>
        <v>/////</v>
      </c>
      <c r="I12" s="8">
        <f>301.4</f>
        <v>301.39999999999998</v>
      </c>
      <c r="J12" s="9" t="str">
        <f>"/////"</f>
        <v>/////</v>
      </c>
      <c r="K12" s="9" t="str">
        <f>"/////"</f>
        <v>/////</v>
      </c>
      <c r="L12" s="8">
        <f>333</f>
        <v>333</v>
      </c>
      <c r="M12" s="8">
        <f>320</f>
        <v>320</v>
      </c>
      <c r="N12" s="8">
        <f>339.4</f>
        <v>339.4</v>
      </c>
      <c r="O12" s="9">
        <v>322.76</v>
      </c>
      <c r="P12" s="9">
        <f t="shared" si="0"/>
        <v>10973.84</v>
      </c>
    </row>
    <row r="13" spans="1:16" ht="33.75" x14ac:dyDescent="0.25">
      <c r="A13" s="5" t="s">
        <v>22</v>
      </c>
      <c r="B13" s="5">
        <v>1</v>
      </c>
      <c r="C13" s="5">
        <v>9</v>
      </c>
      <c r="D13" s="6" t="s">
        <v>34</v>
      </c>
      <c r="E13" s="5" t="s">
        <v>26</v>
      </c>
      <c r="F13" s="7">
        <v>47</v>
      </c>
      <c r="G13" s="8">
        <f>46.2</f>
        <v>46.2</v>
      </c>
      <c r="H13" s="9" t="str">
        <f>"/////"</f>
        <v>/////</v>
      </c>
      <c r="I13" s="8">
        <f>43.92</f>
        <v>43.92</v>
      </c>
      <c r="J13" s="8">
        <f>44.4</f>
        <v>44.4</v>
      </c>
      <c r="K13" s="8">
        <f>45.96</f>
        <v>45.96</v>
      </c>
      <c r="L13" s="8">
        <f>43.08</f>
        <v>43.08</v>
      </c>
      <c r="M13" s="8">
        <f>45.96</f>
        <v>45.96</v>
      </c>
      <c r="N13" s="8">
        <f>43.68</f>
        <v>43.68</v>
      </c>
      <c r="O13" s="9">
        <v>44.74</v>
      </c>
      <c r="P13" s="9">
        <f t="shared" si="0"/>
        <v>2102.7800000000002</v>
      </c>
    </row>
    <row r="14" spans="1:16" ht="45" x14ac:dyDescent="0.25">
      <c r="A14" s="5" t="s">
        <v>22</v>
      </c>
      <c r="B14" s="5">
        <v>1</v>
      </c>
      <c r="C14" s="5">
        <v>10</v>
      </c>
      <c r="D14" s="6" t="s">
        <v>35</v>
      </c>
      <c r="E14" s="5" t="s">
        <v>26</v>
      </c>
      <c r="F14" s="7">
        <v>13</v>
      </c>
      <c r="G14" s="8">
        <f>132</f>
        <v>132</v>
      </c>
      <c r="H14" s="9" t="str">
        <f>"/////"</f>
        <v>/////</v>
      </c>
      <c r="I14" s="8">
        <f>142.8</f>
        <v>142.80000000000001</v>
      </c>
      <c r="J14" s="9" t="str">
        <f>"/////"</f>
        <v>/////</v>
      </c>
      <c r="K14" s="8">
        <f>134.88</f>
        <v>134.88</v>
      </c>
      <c r="L14" s="8">
        <f>142.2</f>
        <v>142.19999999999999</v>
      </c>
      <c r="M14" s="8">
        <f>138</f>
        <v>138</v>
      </c>
      <c r="N14" s="9" t="str">
        <f>"/////"</f>
        <v>/////</v>
      </c>
      <c r="O14" s="9">
        <v>137.97999999999999</v>
      </c>
      <c r="P14" s="9">
        <f t="shared" si="0"/>
        <v>1793.7399999999998</v>
      </c>
    </row>
    <row r="15" spans="1:16" x14ac:dyDescent="0.25">
      <c r="A15" s="5" t="s">
        <v>22</v>
      </c>
      <c r="B15" s="5">
        <v>1</v>
      </c>
      <c r="C15" s="5">
        <v>11</v>
      </c>
      <c r="D15" s="6" t="s">
        <v>36</v>
      </c>
      <c r="E15" s="5" t="s">
        <v>26</v>
      </c>
      <c r="F15" s="7">
        <v>128</v>
      </c>
      <c r="G15" s="8">
        <v>70.8</v>
      </c>
      <c r="H15" s="8">
        <v>66</v>
      </c>
      <c r="I15" s="8">
        <v>65.760000000000005</v>
      </c>
      <c r="J15" s="8">
        <v>68.16</v>
      </c>
      <c r="K15" s="8">
        <v>70.319999999999993</v>
      </c>
      <c r="L15" s="8">
        <v>69.599999999999994</v>
      </c>
      <c r="M15" s="8">
        <v>71.760000000000005</v>
      </c>
      <c r="N15" s="8">
        <v>69.959999999999994</v>
      </c>
      <c r="O15" s="9">
        <v>69.040000000000006</v>
      </c>
      <c r="P15" s="9">
        <f t="shared" si="0"/>
        <v>8837.1200000000008</v>
      </c>
    </row>
    <row r="16" spans="1:16" x14ac:dyDescent="0.25">
      <c r="A16" s="5" t="s">
        <v>22</v>
      </c>
      <c r="B16" s="5">
        <v>1</v>
      </c>
      <c r="C16" s="5">
        <v>12</v>
      </c>
      <c r="D16" s="6" t="s">
        <v>37</v>
      </c>
      <c r="E16" s="5" t="s">
        <v>24</v>
      </c>
      <c r="F16" s="7">
        <v>550</v>
      </c>
      <c r="G16" s="9" t="str">
        <f>"/////"</f>
        <v>/////</v>
      </c>
      <c r="H16" s="8">
        <f>6.9</f>
        <v>6.9</v>
      </c>
      <c r="I16" s="9" t="str">
        <f>"/////"</f>
        <v>/////</v>
      </c>
      <c r="J16" s="9" t="str">
        <f>"/////"</f>
        <v>/////</v>
      </c>
      <c r="K16" s="9" t="str">
        <f>"/////"</f>
        <v>/////</v>
      </c>
      <c r="L16" s="8">
        <f>6.95</f>
        <v>6.95</v>
      </c>
      <c r="M16" s="8">
        <f>6.15</f>
        <v>6.15</v>
      </c>
      <c r="N16" s="9" t="str">
        <f>"/////"</f>
        <v>/////</v>
      </c>
      <c r="O16" s="9">
        <v>6.67</v>
      </c>
      <c r="P16" s="9">
        <f t="shared" si="0"/>
        <v>3668.5</v>
      </c>
    </row>
    <row r="17" spans="1:16" x14ac:dyDescent="0.25">
      <c r="A17" s="5" t="s">
        <v>22</v>
      </c>
      <c r="B17" s="5">
        <v>1</v>
      </c>
      <c r="C17" s="5">
        <v>13</v>
      </c>
      <c r="D17" s="6" t="s">
        <v>38</v>
      </c>
      <c r="E17" s="5" t="s">
        <v>39</v>
      </c>
      <c r="F17" s="7">
        <v>23</v>
      </c>
      <c r="G17" s="8">
        <f>199.75</f>
        <v>199.75</v>
      </c>
      <c r="H17" s="8">
        <f>187.5</f>
        <v>187.5</v>
      </c>
      <c r="I17" s="9" t="str">
        <f>"/////"</f>
        <v>/////</v>
      </c>
      <c r="J17" s="8">
        <f>198.75</f>
        <v>198.75</v>
      </c>
      <c r="K17" s="8">
        <f>187.5</f>
        <v>187.5</v>
      </c>
      <c r="L17" s="8">
        <f>200</f>
        <v>200</v>
      </c>
      <c r="M17" s="8">
        <f>199.75</f>
        <v>199.75</v>
      </c>
      <c r="N17" s="8">
        <f>200</f>
        <v>200</v>
      </c>
      <c r="O17" s="9">
        <v>196.18</v>
      </c>
      <c r="P17" s="9">
        <f t="shared" si="0"/>
        <v>4512.1400000000003</v>
      </c>
    </row>
    <row r="18" spans="1:16" x14ac:dyDescent="0.25">
      <c r="A18" s="5" t="s">
        <v>22</v>
      </c>
      <c r="B18" s="5">
        <v>1</v>
      </c>
      <c r="C18" s="5">
        <v>14</v>
      </c>
      <c r="D18" s="6" t="s">
        <v>40</v>
      </c>
      <c r="E18" s="5" t="s">
        <v>39</v>
      </c>
      <c r="F18" s="7">
        <v>50</v>
      </c>
      <c r="G18" s="8">
        <f>222</f>
        <v>222</v>
      </c>
      <c r="H18" s="8">
        <f>222.5</f>
        <v>222.5</v>
      </c>
      <c r="I18" s="8">
        <f>225</f>
        <v>225</v>
      </c>
      <c r="J18" s="9" t="str">
        <f>"/////"</f>
        <v>/////</v>
      </c>
      <c r="K18" s="9" t="str">
        <f>"/////"</f>
        <v>/////</v>
      </c>
      <c r="L18" s="8">
        <f>224.25</f>
        <v>224.25</v>
      </c>
      <c r="M18" s="8">
        <f>224.75</f>
        <v>224.75</v>
      </c>
      <c r="N18" s="9" t="str">
        <f>"/////"</f>
        <v>/////</v>
      </c>
      <c r="O18" s="9">
        <v>223.7</v>
      </c>
      <c r="P18" s="9">
        <f t="shared" si="0"/>
        <v>11185</v>
      </c>
    </row>
    <row r="19" spans="1:16" x14ac:dyDescent="0.25">
      <c r="A19" s="5" t="s">
        <v>22</v>
      </c>
      <c r="B19" s="5">
        <v>1</v>
      </c>
      <c r="C19" s="5">
        <v>15</v>
      </c>
      <c r="D19" s="6" t="s">
        <v>41</v>
      </c>
      <c r="E19" s="5" t="s">
        <v>39</v>
      </c>
      <c r="F19" s="7">
        <v>85</v>
      </c>
      <c r="G19" s="8">
        <f>367.5</f>
        <v>367.5</v>
      </c>
      <c r="H19" s="9" t="str">
        <f>"/////"</f>
        <v>/////</v>
      </c>
      <c r="I19" s="9" t="str">
        <f>"/////"</f>
        <v>/////</v>
      </c>
      <c r="J19" s="9" t="str">
        <f>"/////"</f>
        <v>/////</v>
      </c>
      <c r="K19" s="9" t="str">
        <f>"/////"</f>
        <v>/////</v>
      </c>
      <c r="L19" s="8">
        <f>373.5</f>
        <v>373.5</v>
      </c>
      <c r="M19" s="8">
        <f>374.25</f>
        <v>374.25</v>
      </c>
      <c r="N19" s="9" t="str">
        <f>"/////"</f>
        <v>/////</v>
      </c>
      <c r="O19" s="9">
        <v>371.75</v>
      </c>
      <c r="P19" s="9">
        <f t="shared" si="0"/>
        <v>31598.75</v>
      </c>
    </row>
    <row r="20" spans="1:16" ht="33.75" x14ac:dyDescent="0.25">
      <c r="A20" s="5" t="s">
        <v>22</v>
      </c>
      <c r="B20" s="5">
        <v>1</v>
      </c>
      <c r="C20" s="5">
        <v>16</v>
      </c>
      <c r="D20" s="6" t="s">
        <v>42</v>
      </c>
      <c r="E20" s="5" t="s">
        <v>29</v>
      </c>
      <c r="F20" s="7">
        <v>38</v>
      </c>
      <c r="G20" s="8">
        <f>42</f>
        <v>42</v>
      </c>
      <c r="H20" s="8">
        <f>42</f>
        <v>42</v>
      </c>
      <c r="I20" s="8">
        <f>41.86</f>
        <v>41.86</v>
      </c>
      <c r="J20" s="8">
        <f>42</f>
        <v>42</v>
      </c>
      <c r="K20" s="8">
        <f>41.44</f>
        <v>41.44</v>
      </c>
      <c r="L20" s="8">
        <f>42</f>
        <v>42</v>
      </c>
      <c r="M20" s="8">
        <f>42</f>
        <v>42</v>
      </c>
      <c r="N20" s="8">
        <f>42</f>
        <v>42</v>
      </c>
      <c r="O20" s="9">
        <v>41.91</v>
      </c>
      <c r="P20" s="9">
        <f t="shared" si="0"/>
        <v>1592.58</v>
      </c>
    </row>
    <row r="21" spans="1:16" ht="22.5" x14ac:dyDescent="0.25">
      <c r="A21" s="5" t="s">
        <v>22</v>
      </c>
      <c r="B21" s="5">
        <v>1</v>
      </c>
      <c r="C21" s="5">
        <v>17</v>
      </c>
      <c r="D21" s="6" t="s">
        <v>43</v>
      </c>
      <c r="E21" s="5" t="s">
        <v>26</v>
      </c>
      <c r="F21" s="7">
        <v>148</v>
      </c>
      <c r="G21" s="8">
        <f>56.7</f>
        <v>56.7</v>
      </c>
      <c r="H21" s="9" t="str">
        <f>"/////"</f>
        <v>/////</v>
      </c>
      <c r="I21" s="8">
        <f>54</f>
        <v>54</v>
      </c>
      <c r="J21" s="8">
        <f>56.4</f>
        <v>56.4</v>
      </c>
      <c r="K21" s="8">
        <f>58.8</f>
        <v>58.8</v>
      </c>
      <c r="L21" s="8">
        <f>59.94</f>
        <v>59.94</v>
      </c>
      <c r="M21" s="8">
        <f>59.1</f>
        <v>59.1</v>
      </c>
      <c r="N21" s="9" t="str">
        <f>"/////"</f>
        <v>/////</v>
      </c>
      <c r="O21" s="9">
        <v>57.49</v>
      </c>
      <c r="P21" s="9">
        <f t="shared" si="0"/>
        <v>8508.52</v>
      </c>
    </row>
    <row r="22" spans="1:16" x14ac:dyDescent="0.25">
      <c r="A22" s="5" t="s">
        <v>22</v>
      </c>
      <c r="B22" s="5">
        <v>1</v>
      </c>
      <c r="C22" s="5">
        <v>18</v>
      </c>
      <c r="D22" s="6" t="s">
        <v>44</v>
      </c>
      <c r="E22" s="5" t="s">
        <v>24</v>
      </c>
      <c r="F22" s="7">
        <v>60</v>
      </c>
      <c r="G22" s="8">
        <f>18.39</f>
        <v>18.39</v>
      </c>
      <c r="H22" s="8">
        <f>19.99</f>
        <v>19.989999999999998</v>
      </c>
      <c r="I22" s="8">
        <f>18.07</f>
        <v>18.07</v>
      </c>
      <c r="J22" s="8">
        <f>19.99</f>
        <v>19.989999999999998</v>
      </c>
      <c r="K22" s="8">
        <f>18.99</f>
        <v>18.989999999999998</v>
      </c>
      <c r="L22" s="8">
        <f>19.99</f>
        <v>19.989999999999998</v>
      </c>
      <c r="M22" s="8">
        <f>19</f>
        <v>19</v>
      </c>
      <c r="N22" s="8">
        <f>19.98</f>
        <v>19.98</v>
      </c>
      <c r="O22" s="9">
        <v>19.3</v>
      </c>
      <c r="P22" s="9">
        <f t="shared" si="0"/>
        <v>1158</v>
      </c>
    </row>
    <row r="23" spans="1:16" x14ac:dyDescent="0.25">
      <c r="A23" s="5" t="s">
        <v>22</v>
      </c>
      <c r="B23" s="5">
        <v>1</v>
      </c>
      <c r="C23" s="5">
        <v>19</v>
      </c>
      <c r="D23" s="6" t="s">
        <v>45</v>
      </c>
      <c r="E23" s="5" t="s">
        <v>24</v>
      </c>
      <c r="F23" s="7">
        <v>150</v>
      </c>
      <c r="G23" s="8">
        <f>9.53</f>
        <v>9.5299999999999994</v>
      </c>
      <c r="H23" s="8">
        <f>9.9</f>
        <v>9.9</v>
      </c>
      <c r="I23" s="8">
        <f>10</f>
        <v>10</v>
      </c>
      <c r="J23" s="8">
        <f>10</f>
        <v>10</v>
      </c>
      <c r="K23" s="8">
        <f>9.58</f>
        <v>9.58</v>
      </c>
      <c r="L23" s="8">
        <f>10</f>
        <v>10</v>
      </c>
      <c r="M23" s="8">
        <f>8.99</f>
        <v>8.99</v>
      </c>
      <c r="N23" s="8">
        <f>9.98</f>
        <v>9.98</v>
      </c>
      <c r="O23" s="9">
        <v>9.75</v>
      </c>
      <c r="P23" s="9">
        <f t="shared" si="0"/>
        <v>1462.5</v>
      </c>
    </row>
    <row r="24" spans="1:16" x14ac:dyDescent="0.25">
      <c r="A24" s="5" t="s">
        <v>22</v>
      </c>
      <c r="B24" s="5">
        <v>1</v>
      </c>
      <c r="C24" s="5">
        <v>20</v>
      </c>
      <c r="D24" s="6" t="s">
        <v>46</v>
      </c>
      <c r="E24" s="5" t="s">
        <v>24</v>
      </c>
      <c r="F24" s="7">
        <v>50</v>
      </c>
      <c r="G24" s="9" t="str">
        <f>"/////"</f>
        <v>/////</v>
      </c>
      <c r="H24" s="9" t="str">
        <f>"/////"</f>
        <v>/////</v>
      </c>
      <c r="I24" s="9" t="str">
        <f>"/////"</f>
        <v>/////</v>
      </c>
      <c r="J24" s="8">
        <f>28</f>
        <v>28</v>
      </c>
      <c r="K24" s="8">
        <f>25.93</f>
        <v>25.93</v>
      </c>
      <c r="L24" s="8">
        <f>28.64</f>
        <v>28.64</v>
      </c>
      <c r="M24" s="9" t="str">
        <f>"/////"</f>
        <v>/////</v>
      </c>
      <c r="N24" s="9" t="str">
        <f>"/////"</f>
        <v>/////</v>
      </c>
      <c r="O24" s="9">
        <v>27.52</v>
      </c>
      <c r="P24" s="9">
        <f t="shared" si="0"/>
        <v>1376</v>
      </c>
    </row>
    <row r="25" spans="1:16" x14ac:dyDescent="0.25">
      <c r="A25" s="5" t="s">
        <v>22</v>
      </c>
      <c r="B25" s="5">
        <v>1</v>
      </c>
      <c r="C25" s="5">
        <v>21</v>
      </c>
      <c r="D25" s="6" t="s">
        <v>47</v>
      </c>
      <c r="E25" s="5" t="s">
        <v>24</v>
      </c>
      <c r="F25" s="10">
        <v>1520</v>
      </c>
      <c r="G25" s="8">
        <f>5.7</f>
        <v>5.7</v>
      </c>
      <c r="H25" s="9" t="str">
        <f>"/////"</f>
        <v>/////</v>
      </c>
      <c r="I25" s="8">
        <f>5.19</f>
        <v>5.19</v>
      </c>
      <c r="J25" s="8">
        <f>5.19</f>
        <v>5.19</v>
      </c>
      <c r="K25" s="8">
        <f>5.94</f>
        <v>5.94</v>
      </c>
      <c r="L25" s="8">
        <f>5.93</f>
        <v>5.93</v>
      </c>
      <c r="M25" s="8">
        <f>5.36</f>
        <v>5.36</v>
      </c>
      <c r="N25" s="8">
        <f>5.67</f>
        <v>5.67</v>
      </c>
      <c r="O25" s="9">
        <v>5.57</v>
      </c>
      <c r="P25" s="9">
        <f t="shared" si="0"/>
        <v>8466.4</v>
      </c>
    </row>
    <row r="26" spans="1:16" x14ac:dyDescent="0.25">
      <c r="A26" s="5" t="s">
        <v>22</v>
      </c>
      <c r="B26" s="5">
        <v>1</v>
      </c>
      <c r="C26" s="5">
        <v>22</v>
      </c>
      <c r="D26" s="6" t="s">
        <v>48</v>
      </c>
      <c r="E26" s="5" t="s">
        <v>24</v>
      </c>
      <c r="F26" s="7">
        <v>173</v>
      </c>
      <c r="G26" s="8">
        <f>5.6</f>
        <v>5.6</v>
      </c>
      <c r="H26" s="8">
        <f>5.75</f>
        <v>5.75</v>
      </c>
      <c r="I26" s="9" t="str">
        <f>"/////"</f>
        <v>/////</v>
      </c>
      <c r="J26" s="8">
        <f>5.8</f>
        <v>5.8</v>
      </c>
      <c r="K26" s="9" t="str">
        <f>"/////"</f>
        <v>/////</v>
      </c>
      <c r="L26" s="8">
        <f>6</f>
        <v>6</v>
      </c>
      <c r="M26" s="8">
        <f>6</f>
        <v>6</v>
      </c>
      <c r="N26" s="8">
        <f>5.8</f>
        <v>5.8</v>
      </c>
      <c r="O26" s="9">
        <v>5.83</v>
      </c>
      <c r="P26" s="9">
        <f t="shared" si="0"/>
        <v>1008.59</v>
      </c>
    </row>
    <row r="27" spans="1:16" ht="22.5" x14ac:dyDescent="0.25">
      <c r="A27" s="5" t="s">
        <v>22</v>
      </c>
      <c r="B27" s="5">
        <v>1</v>
      </c>
      <c r="C27" s="5">
        <v>23</v>
      </c>
      <c r="D27" s="6" t="s">
        <v>49</v>
      </c>
      <c r="E27" s="5" t="s">
        <v>24</v>
      </c>
      <c r="F27" s="7">
        <v>15</v>
      </c>
      <c r="G27" s="8">
        <f>120</f>
        <v>120</v>
      </c>
      <c r="H27" s="8">
        <f>120</f>
        <v>120</v>
      </c>
      <c r="I27" s="8">
        <f>114.1</f>
        <v>114.1</v>
      </c>
      <c r="J27" s="8">
        <f>119</f>
        <v>119</v>
      </c>
      <c r="K27" s="8">
        <f>115</f>
        <v>115</v>
      </c>
      <c r="L27" s="8">
        <f>118</f>
        <v>118</v>
      </c>
      <c r="M27" s="9" t="str">
        <f>"/////"</f>
        <v>/////</v>
      </c>
      <c r="N27" s="8">
        <f>116.9</f>
        <v>116.9</v>
      </c>
      <c r="O27" s="9">
        <v>117.57</v>
      </c>
      <c r="P27" s="9">
        <f t="shared" si="0"/>
        <v>1763.55</v>
      </c>
    </row>
    <row r="28" spans="1:16" x14ac:dyDescent="0.25">
      <c r="A28" s="5" t="s">
        <v>22</v>
      </c>
      <c r="B28" s="5">
        <v>1</v>
      </c>
      <c r="C28" s="5">
        <v>24</v>
      </c>
      <c r="D28" s="6" t="s">
        <v>50</v>
      </c>
      <c r="E28" s="5" t="s">
        <v>26</v>
      </c>
      <c r="F28" s="7">
        <v>138</v>
      </c>
      <c r="G28" s="9" t="str">
        <f>"/////"</f>
        <v>/////</v>
      </c>
      <c r="H28" s="9" t="str">
        <f>"/////"</f>
        <v>/////</v>
      </c>
      <c r="I28" s="8">
        <f>24</f>
        <v>24</v>
      </c>
      <c r="J28" s="8">
        <f>23</f>
        <v>23</v>
      </c>
      <c r="K28" s="9" t="str">
        <f>"/////"</f>
        <v>/////</v>
      </c>
      <c r="L28" s="8">
        <f>24.45</f>
        <v>24.45</v>
      </c>
      <c r="M28" s="8">
        <f>25.28</f>
        <v>25.28</v>
      </c>
      <c r="N28" s="9" t="str">
        <f>"/////"</f>
        <v>/////</v>
      </c>
      <c r="O28" s="9">
        <v>24.18</v>
      </c>
      <c r="P28" s="9">
        <f t="shared" si="0"/>
        <v>3336.84</v>
      </c>
    </row>
    <row r="29" spans="1:16" ht="22.5" x14ac:dyDescent="0.25">
      <c r="A29" s="5" t="s">
        <v>22</v>
      </c>
      <c r="B29" s="5">
        <v>1</v>
      </c>
      <c r="C29" s="5">
        <v>25</v>
      </c>
      <c r="D29" s="6" t="s">
        <v>51</v>
      </c>
      <c r="E29" s="5" t="s">
        <v>24</v>
      </c>
      <c r="F29" s="7">
        <v>20</v>
      </c>
      <c r="G29" s="8">
        <f>186</f>
        <v>186</v>
      </c>
      <c r="H29" s="9" t="str">
        <f>"/////"</f>
        <v>/////</v>
      </c>
      <c r="I29" s="8">
        <f>180</f>
        <v>180</v>
      </c>
      <c r="J29" s="8">
        <f>168</f>
        <v>168</v>
      </c>
      <c r="K29" s="8">
        <f>174</f>
        <v>174</v>
      </c>
      <c r="L29" s="8">
        <f>178.8</f>
        <v>178.8</v>
      </c>
      <c r="M29" s="9" t="str">
        <f>"/////"</f>
        <v>/////</v>
      </c>
      <c r="N29" s="8">
        <f>161.64</f>
        <v>161.63999999999999</v>
      </c>
      <c r="O29" s="9">
        <v>174.74</v>
      </c>
      <c r="P29" s="9">
        <f t="shared" si="0"/>
        <v>3494.8</v>
      </c>
    </row>
    <row r="30" spans="1:16" ht="22.5" x14ac:dyDescent="0.25">
      <c r="A30" s="5" t="s">
        <v>22</v>
      </c>
      <c r="B30" s="5">
        <v>1</v>
      </c>
      <c r="C30" s="5">
        <v>26</v>
      </c>
      <c r="D30" s="6" t="s">
        <v>52</v>
      </c>
      <c r="E30" s="5" t="s">
        <v>26</v>
      </c>
      <c r="F30" s="7">
        <v>11</v>
      </c>
      <c r="G30" s="9" t="str">
        <f>"/////"</f>
        <v>/////</v>
      </c>
      <c r="H30" s="9" t="str">
        <f>"/////"</f>
        <v>/////</v>
      </c>
      <c r="I30" s="9" t="str">
        <f>"/////"</f>
        <v>/////</v>
      </c>
      <c r="J30" s="8">
        <f>83.88</f>
        <v>83.88</v>
      </c>
      <c r="K30" s="8">
        <f>83.4</f>
        <v>83.4</v>
      </c>
      <c r="L30" s="8">
        <f>84</f>
        <v>84</v>
      </c>
      <c r="M30" s="9" t="str">
        <f>"/////"</f>
        <v>/////</v>
      </c>
      <c r="N30" s="9" t="str">
        <f>"/////"</f>
        <v>/////</v>
      </c>
      <c r="O30" s="9">
        <v>83.76</v>
      </c>
      <c r="P30" s="9">
        <f t="shared" si="0"/>
        <v>921.36</v>
      </c>
    </row>
    <row r="31" spans="1:16" x14ac:dyDescent="0.25">
      <c r="A31" s="5" t="s">
        <v>22</v>
      </c>
      <c r="B31" s="5">
        <v>1</v>
      </c>
      <c r="C31" s="5">
        <v>27</v>
      </c>
      <c r="D31" s="6" t="s">
        <v>53</v>
      </c>
      <c r="E31" s="5" t="s">
        <v>26</v>
      </c>
      <c r="F31" s="7">
        <v>10</v>
      </c>
      <c r="G31" s="8">
        <f>272.5</f>
        <v>272.5</v>
      </c>
      <c r="H31" s="9" t="str">
        <f>"/////"</f>
        <v>/////</v>
      </c>
      <c r="I31" s="8">
        <f>236</f>
        <v>236</v>
      </c>
      <c r="J31" s="9" t="str">
        <f>"/////"</f>
        <v>/////</v>
      </c>
      <c r="K31" s="9" t="str">
        <f>"/////"</f>
        <v>/////</v>
      </c>
      <c r="L31" s="8">
        <f>250</f>
        <v>250</v>
      </c>
      <c r="M31" s="9" t="str">
        <f>"/////"</f>
        <v>/////</v>
      </c>
      <c r="N31" s="9" t="str">
        <f>"/////"</f>
        <v>/////</v>
      </c>
      <c r="O31" s="9">
        <v>252.83</v>
      </c>
      <c r="P31" s="9">
        <f t="shared" si="0"/>
        <v>2528.3000000000002</v>
      </c>
    </row>
    <row r="32" spans="1:16" x14ac:dyDescent="0.25">
      <c r="A32" s="5" t="s">
        <v>22</v>
      </c>
      <c r="B32" s="5">
        <v>1</v>
      </c>
      <c r="C32" s="5">
        <v>28</v>
      </c>
      <c r="D32" s="6" t="s">
        <v>54</v>
      </c>
      <c r="E32" s="5" t="s">
        <v>26</v>
      </c>
      <c r="F32" s="7">
        <v>10</v>
      </c>
      <c r="G32" s="8">
        <f>274.75</f>
        <v>274.75</v>
      </c>
      <c r="H32" s="8">
        <f>297.5</f>
        <v>297.5</v>
      </c>
      <c r="I32" s="8">
        <f>267.5</f>
        <v>267.5</v>
      </c>
      <c r="J32" s="8">
        <f>300</f>
        <v>300</v>
      </c>
      <c r="K32" s="9" t="str">
        <f>"/////"</f>
        <v>/////</v>
      </c>
      <c r="L32" s="8">
        <f>299.75</f>
        <v>299.75</v>
      </c>
      <c r="M32" s="9" t="str">
        <f>"/////"</f>
        <v>/////</v>
      </c>
      <c r="N32" s="9" t="str">
        <f>"/////"</f>
        <v>/////</v>
      </c>
      <c r="O32" s="9">
        <v>287.89999999999998</v>
      </c>
      <c r="P32" s="9">
        <f t="shared" si="0"/>
        <v>2879</v>
      </c>
    </row>
    <row r="33" spans="1:16" x14ac:dyDescent="0.25">
      <c r="A33" s="5" t="s">
        <v>22</v>
      </c>
      <c r="B33" s="5">
        <v>1</v>
      </c>
      <c r="C33" s="5">
        <v>29</v>
      </c>
      <c r="D33" s="6" t="s">
        <v>55</v>
      </c>
      <c r="E33" s="5" t="s">
        <v>26</v>
      </c>
      <c r="F33" s="7">
        <v>10</v>
      </c>
      <c r="G33" s="9" t="str">
        <f>"/////"</f>
        <v>/////</v>
      </c>
      <c r="H33" s="9" t="str">
        <f>"/////"</f>
        <v>/////</v>
      </c>
      <c r="I33" s="8">
        <f>360</f>
        <v>360</v>
      </c>
      <c r="J33" s="8">
        <f>336.25</f>
        <v>336.25</v>
      </c>
      <c r="K33" s="9" t="str">
        <f>"/////"</f>
        <v>/////</v>
      </c>
      <c r="L33" s="8">
        <f>337.5</f>
        <v>337.5</v>
      </c>
      <c r="M33" s="9" t="str">
        <f>"/////"</f>
        <v>/////</v>
      </c>
      <c r="N33" s="9" t="str">
        <f>"/////"</f>
        <v>/////</v>
      </c>
      <c r="O33" s="9">
        <v>344.58</v>
      </c>
      <c r="P33" s="9">
        <f t="shared" si="0"/>
        <v>3445.7999999999997</v>
      </c>
    </row>
    <row r="34" spans="1:16" x14ac:dyDescent="0.25">
      <c r="A34" s="5" t="s">
        <v>22</v>
      </c>
      <c r="B34" s="5">
        <v>1</v>
      </c>
      <c r="C34" s="5">
        <v>30</v>
      </c>
      <c r="D34" s="6" t="s">
        <v>56</v>
      </c>
      <c r="E34" s="5" t="s">
        <v>26</v>
      </c>
      <c r="F34" s="7">
        <v>10</v>
      </c>
      <c r="G34" s="9" t="str">
        <f>"/////"</f>
        <v>/////</v>
      </c>
      <c r="H34" s="9" t="str">
        <f>"/////"</f>
        <v>/////</v>
      </c>
      <c r="I34" s="9" t="str">
        <f>"/////"</f>
        <v>/////</v>
      </c>
      <c r="J34" s="8">
        <f>467.75</f>
        <v>467.75</v>
      </c>
      <c r="K34" s="9" t="str">
        <f>"/////"</f>
        <v>/////</v>
      </c>
      <c r="L34" s="8">
        <f>466.25</f>
        <v>466.25</v>
      </c>
      <c r="M34" s="8">
        <f>422.5</f>
        <v>422.5</v>
      </c>
      <c r="N34" s="8">
        <f>475</f>
        <v>475</v>
      </c>
      <c r="O34" s="9">
        <v>457.88</v>
      </c>
      <c r="P34" s="9">
        <f t="shared" si="0"/>
        <v>4578.8</v>
      </c>
    </row>
    <row r="35" spans="1:16" x14ac:dyDescent="0.25">
      <c r="A35" s="5" t="s">
        <v>22</v>
      </c>
      <c r="B35" s="5">
        <v>1</v>
      </c>
      <c r="C35" s="5">
        <v>31</v>
      </c>
      <c r="D35" s="6" t="s">
        <v>57</v>
      </c>
      <c r="E35" s="5" t="s">
        <v>24</v>
      </c>
      <c r="F35" s="7">
        <v>11</v>
      </c>
      <c r="G35" s="8">
        <f>19.9</f>
        <v>19.899999999999999</v>
      </c>
      <c r="H35" s="9" t="str">
        <f>"/////"</f>
        <v>/////</v>
      </c>
      <c r="I35" s="8">
        <f>19.94</f>
        <v>19.940000000000001</v>
      </c>
      <c r="J35" s="8">
        <f>21.9</f>
        <v>21.9</v>
      </c>
      <c r="K35" s="8">
        <f>20.8</f>
        <v>20.8</v>
      </c>
      <c r="L35" s="8">
        <f>20</f>
        <v>20</v>
      </c>
      <c r="M35" s="9" t="str">
        <f>"/////"</f>
        <v>/////</v>
      </c>
      <c r="N35" s="8">
        <f>19.6</f>
        <v>19.600000000000001</v>
      </c>
      <c r="O35" s="9">
        <v>20.36</v>
      </c>
      <c r="P35" s="9">
        <f t="shared" si="0"/>
        <v>223.95999999999998</v>
      </c>
    </row>
    <row r="36" spans="1:16" x14ac:dyDescent="0.25">
      <c r="A36" s="5" t="s">
        <v>22</v>
      </c>
      <c r="B36" s="5">
        <v>1</v>
      </c>
      <c r="C36" s="5">
        <v>32</v>
      </c>
      <c r="D36" s="6" t="s">
        <v>58</v>
      </c>
      <c r="E36" s="5" t="s">
        <v>39</v>
      </c>
      <c r="F36" s="7">
        <v>50</v>
      </c>
      <c r="G36" s="9" t="str">
        <f>"/////"</f>
        <v>/////</v>
      </c>
      <c r="H36" s="8">
        <f>10.76</f>
        <v>10.76</v>
      </c>
      <c r="I36" s="8">
        <f>10.9</f>
        <v>10.9</v>
      </c>
      <c r="J36" s="9" t="str">
        <f>"/////"</f>
        <v>/////</v>
      </c>
      <c r="K36" s="9" t="str">
        <f>"/////"</f>
        <v>/////</v>
      </c>
      <c r="L36" s="8">
        <f>12.99</f>
        <v>12.99</v>
      </c>
      <c r="M36" s="9" t="str">
        <f>"/////"</f>
        <v>/////</v>
      </c>
      <c r="N36" s="9" t="str">
        <f>"/////"</f>
        <v>/////</v>
      </c>
      <c r="O36" s="9">
        <v>11.55</v>
      </c>
      <c r="P36" s="9">
        <f t="shared" si="0"/>
        <v>577.5</v>
      </c>
    </row>
    <row r="37" spans="1:16" x14ac:dyDescent="0.25">
      <c r="A37" s="5" t="s">
        <v>22</v>
      </c>
      <c r="B37" s="5">
        <v>1</v>
      </c>
      <c r="C37" s="5">
        <v>33</v>
      </c>
      <c r="D37" s="6" t="s">
        <v>59</v>
      </c>
      <c r="E37" s="5" t="s">
        <v>39</v>
      </c>
      <c r="F37" s="7">
        <v>50</v>
      </c>
      <c r="G37" s="8">
        <f>59.89</f>
        <v>59.89</v>
      </c>
      <c r="H37" s="9" t="str">
        <f>"/////"</f>
        <v>/////</v>
      </c>
      <c r="I37" s="8">
        <f>62</f>
        <v>62</v>
      </c>
      <c r="J37" s="8">
        <f>60.6</f>
        <v>60.6</v>
      </c>
      <c r="K37" s="8">
        <f>61.85</f>
        <v>61.85</v>
      </c>
      <c r="L37" s="8">
        <f>62</f>
        <v>62</v>
      </c>
      <c r="M37" s="8">
        <f>62</f>
        <v>62</v>
      </c>
      <c r="N37" s="8">
        <f>61.8</f>
        <v>61.8</v>
      </c>
      <c r="O37" s="9">
        <v>61.45</v>
      </c>
      <c r="P37" s="9">
        <f t="shared" ref="P37:P68" si="1">SUM(IF(ISERROR(F37*ROUND(O37,2)),0,F37*ROUND(O37,2)))</f>
        <v>3072.5</v>
      </c>
    </row>
    <row r="38" spans="1:16" x14ac:dyDescent="0.25">
      <c r="A38" s="5" t="s">
        <v>22</v>
      </c>
      <c r="B38" s="5">
        <v>1</v>
      </c>
      <c r="C38" s="5">
        <v>34</v>
      </c>
      <c r="D38" s="6" t="s">
        <v>60</v>
      </c>
      <c r="E38" s="5" t="s">
        <v>39</v>
      </c>
      <c r="F38" s="7">
        <v>50</v>
      </c>
      <c r="G38" s="8">
        <f>18.981</f>
        <v>18.981000000000002</v>
      </c>
      <c r="H38" s="9" t="str">
        <f>"/////"</f>
        <v>/////</v>
      </c>
      <c r="I38" s="8">
        <f>19.5</f>
        <v>19.5</v>
      </c>
      <c r="J38" s="8">
        <f>16.95</f>
        <v>16.95</v>
      </c>
      <c r="K38" s="8">
        <f>16.65</f>
        <v>16.649999999999999</v>
      </c>
      <c r="L38" s="8">
        <f>19.6</f>
        <v>19.600000000000001</v>
      </c>
      <c r="M38" s="9" t="str">
        <f>"/////"</f>
        <v>/////</v>
      </c>
      <c r="N38" s="8">
        <f>19.3</f>
        <v>19.3</v>
      </c>
      <c r="O38" s="9">
        <v>18.5</v>
      </c>
      <c r="P38" s="9">
        <f t="shared" si="1"/>
        <v>925</v>
      </c>
    </row>
    <row r="39" spans="1:16" x14ac:dyDescent="0.25">
      <c r="A39" s="5" t="s">
        <v>22</v>
      </c>
      <c r="B39" s="5">
        <v>1</v>
      </c>
      <c r="C39" s="5">
        <v>35</v>
      </c>
      <c r="D39" s="6" t="s">
        <v>61</v>
      </c>
      <c r="E39" s="5" t="s">
        <v>24</v>
      </c>
      <c r="F39" s="7">
        <v>120</v>
      </c>
      <c r="G39" s="8">
        <f>7.4</f>
        <v>7.4</v>
      </c>
      <c r="H39" s="9" t="str">
        <f>"/////"</f>
        <v>/////</v>
      </c>
      <c r="I39" s="8">
        <f>5.99</f>
        <v>5.99</v>
      </c>
      <c r="J39" s="8">
        <f>5.93</f>
        <v>5.93</v>
      </c>
      <c r="K39" s="9" t="str">
        <f>"/////"</f>
        <v>/////</v>
      </c>
      <c r="L39" s="8">
        <f>5.93</f>
        <v>5.93</v>
      </c>
      <c r="M39" s="9" t="str">
        <f>"/////"</f>
        <v>/////</v>
      </c>
      <c r="N39" s="8">
        <f>5.89</f>
        <v>5.89</v>
      </c>
      <c r="O39" s="9">
        <v>6.23</v>
      </c>
      <c r="P39" s="9">
        <f t="shared" si="1"/>
        <v>747.6</v>
      </c>
    </row>
    <row r="40" spans="1:16" x14ac:dyDescent="0.25">
      <c r="A40" s="5" t="s">
        <v>22</v>
      </c>
      <c r="B40" s="5">
        <v>1</v>
      </c>
      <c r="C40" s="5">
        <v>36</v>
      </c>
      <c r="D40" s="6" t="s">
        <v>62</v>
      </c>
      <c r="E40" s="5" t="s">
        <v>24</v>
      </c>
      <c r="F40" s="7">
        <v>140</v>
      </c>
      <c r="G40" s="8">
        <f>9.89</f>
        <v>9.89</v>
      </c>
      <c r="H40" s="8">
        <f>9.8</f>
        <v>9.8000000000000007</v>
      </c>
      <c r="I40" s="8">
        <f>9.7</f>
        <v>9.6999999999999993</v>
      </c>
      <c r="J40" s="8">
        <f>9.96</f>
        <v>9.9600000000000009</v>
      </c>
      <c r="K40" s="8">
        <f>9.59</f>
        <v>9.59</v>
      </c>
      <c r="L40" s="8">
        <f>10</f>
        <v>10</v>
      </c>
      <c r="M40" s="8">
        <f>9.94</f>
        <v>9.94</v>
      </c>
      <c r="N40" s="8">
        <f>9.89</f>
        <v>9.89</v>
      </c>
      <c r="O40" s="9">
        <v>9.85</v>
      </c>
      <c r="P40" s="9">
        <f t="shared" si="1"/>
        <v>1379</v>
      </c>
    </row>
    <row r="41" spans="1:16" ht="22.5" x14ac:dyDescent="0.25">
      <c r="A41" s="5" t="s">
        <v>22</v>
      </c>
      <c r="B41" s="5">
        <v>1</v>
      </c>
      <c r="C41" s="5">
        <v>37</v>
      </c>
      <c r="D41" s="6" t="s">
        <v>63</v>
      </c>
      <c r="E41" s="5" t="s">
        <v>26</v>
      </c>
      <c r="F41" s="7">
        <v>6</v>
      </c>
      <c r="G41" s="8">
        <f>55</f>
        <v>55</v>
      </c>
      <c r="H41" s="8">
        <f>53</f>
        <v>53</v>
      </c>
      <c r="I41" s="8">
        <f>55</f>
        <v>55</v>
      </c>
      <c r="J41" s="8">
        <f>55</f>
        <v>55</v>
      </c>
      <c r="K41" s="9" t="str">
        <f>"/////"</f>
        <v>/////</v>
      </c>
      <c r="L41" s="8">
        <f>55</f>
        <v>55</v>
      </c>
      <c r="M41" s="9" t="str">
        <f>"/////"</f>
        <v>/////</v>
      </c>
      <c r="N41" s="8">
        <f>55</f>
        <v>55</v>
      </c>
      <c r="O41" s="9">
        <v>54.67</v>
      </c>
      <c r="P41" s="9">
        <f t="shared" si="1"/>
        <v>328.02</v>
      </c>
    </row>
    <row r="42" spans="1:16" x14ac:dyDescent="0.25">
      <c r="A42" s="5" t="s">
        <v>22</v>
      </c>
      <c r="B42" s="5">
        <v>1</v>
      </c>
      <c r="C42" s="5">
        <v>38</v>
      </c>
      <c r="D42" s="6" t="s">
        <v>64</v>
      </c>
      <c r="E42" s="5" t="s">
        <v>26</v>
      </c>
      <c r="F42" s="7">
        <v>200</v>
      </c>
      <c r="G42" s="8">
        <f>13.08</f>
        <v>13.08</v>
      </c>
      <c r="H42" s="8">
        <f>14</f>
        <v>14</v>
      </c>
      <c r="I42" s="8">
        <f>12.82</f>
        <v>12.82</v>
      </c>
      <c r="J42" s="8">
        <f>14.84</f>
        <v>14.84</v>
      </c>
      <c r="K42" s="8">
        <f>13.57</f>
        <v>13.57</v>
      </c>
      <c r="L42" s="8">
        <f>14</f>
        <v>14</v>
      </c>
      <c r="M42" s="8">
        <f>14.9</f>
        <v>14.9</v>
      </c>
      <c r="N42" s="8">
        <f>14.99</f>
        <v>14.99</v>
      </c>
      <c r="O42" s="9">
        <v>14.03</v>
      </c>
      <c r="P42" s="9">
        <f t="shared" si="1"/>
        <v>2806</v>
      </c>
    </row>
    <row r="43" spans="1:16" x14ac:dyDescent="0.25">
      <c r="A43" s="5" t="s">
        <v>22</v>
      </c>
      <c r="B43" s="5">
        <v>1</v>
      </c>
      <c r="C43" s="5">
        <v>39</v>
      </c>
      <c r="D43" s="6" t="s">
        <v>65</v>
      </c>
      <c r="E43" s="5" t="s">
        <v>24</v>
      </c>
      <c r="F43" s="7">
        <v>280</v>
      </c>
      <c r="G43" s="8">
        <f>15.28</f>
        <v>15.28</v>
      </c>
      <c r="H43" s="9" t="str">
        <f>"/////"</f>
        <v>/////</v>
      </c>
      <c r="I43" s="8">
        <f>14</f>
        <v>14</v>
      </c>
      <c r="J43" s="8">
        <f>16.5</f>
        <v>16.5</v>
      </c>
      <c r="K43" s="8">
        <f>14.3</f>
        <v>14.3</v>
      </c>
      <c r="L43" s="8">
        <f>15.5</f>
        <v>15.5</v>
      </c>
      <c r="M43" s="9" t="str">
        <f>"/////"</f>
        <v>/////</v>
      </c>
      <c r="N43" s="8">
        <f>14.93</f>
        <v>14.93</v>
      </c>
      <c r="O43" s="9">
        <v>15.09</v>
      </c>
      <c r="P43" s="9">
        <f t="shared" si="1"/>
        <v>4225.2</v>
      </c>
    </row>
    <row r="44" spans="1:16" x14ac:dyDescent="0.25">
      <c r="A44" s="5" t="s">
        <v>22</v>
      </c>
      <c r="B44" s="5">
        <v>1</v>
      </c>
      <c r="C44" s="5">
        <v>40</v>
      </c>
      <c r="D44" s="6" t="s">
        <v>66</v>
      </c>
      <c r="E44" s="5" t="s">
        <v>24</v>
      </c>
      <c r="F44" s="7">
        <v>100</v>
      </c>
      <c r="G44" s="8">
        <f>9.6</f>
        <v>9.6</v>
      </c>
      <c r="H44" s="8">
        <f>10</f>
        <v>10</v>
      </c>
      <c r="I44" s="8">
        <f>8.9</f>
        <v>8.9</v>
      </c>
      <c r="J44" s="8">
        <f>9.75</f>
        <v>9.75</v>
      </c>
      <c r="K44" s="9" t="str">
        <f>"/////"</f>
        <v>/////</v>
      </c>
      <c r="L44" s="8">
        <f>10</f>
        <v>10</v>
      </c>
      <c r="M44" s="8">
        <f>10</f>
        <v>10</v>
      </c>
      <c r="N44" s="8">
        <f>9.99</f>
        <v>9.99</v>
      </c>
      <c r="O44" s="9">
        <v>9.75</v>
      </c>
      <c r="P44" s="9">
        <f t="shared" si="1"/>
        <v>975</v>
      </c>
    </row>
    <row r="45" spans="1:16" x14ac:dyDescent="0.25">
      <c r="A45" s="5" t="s">
        <v>22</v>
      </c>
      <c r="B45" s="5">
        <v>1</v>
      </c>
      <c r="C45" s="5">
        <v>41</v>
      </c>
      <c r="D45" s="6" t="s">
        <v>67</v>
      </c>
      <c r="E45" s="5" t="s">
        <v>39</v>
      </c>
      <c r="F45" s="7">
        <v>13</v>
      </c>
      <c r="G45" s="8">
        <f>55.1</f>
        <v>55.1</v>
      </c>
      <c r="H45" s="9" t="str">
        <f>"/////"</f>
        <v>/////</v>
      </c>
      <c r="I45" s="8">
        <f>55</f>
        <v>55</v>
      </c>
      <c r="J45" s="8">
        <f>56.999</f>
        <v>56.999000000000002</v>
      </c>
      <c r="K45" s="9" t="str">
        <f>"/////"</f>
        <v>/////</v>
      </c>
      <c r="L45" s="8">
        <f>55</f>
        <v>55</v>
      </c>
      <c r="M45" s="9" t="str">
        <f>"/////"</f>
        <v>/////</v>
      </c>
      <c r="N45" s="8">
        <f>54.5</f>
        <v>54.5</v>
      </c>
      <c r="O45" s="9">
        <v>55.32</v>
      </c>
      <c r="P45" s="9">
        <f t="shared" si="1"/>
        <v>719.16</v>
      </c>
    </row>
    <row r="46" spans="1:16" x14ac:dyDescent="0.25">
      <c r="A46" s="5" t="s">
        <v>22</v>
      </c>
      <c r="B46" s="5">
        <v>1</v>
      </c>
      <c r="C46" s="5">
        <v>42</v>
      </c>
      <c r="D46" s="6" t="s">
        <v>68</v>
      </c>
      <c r="E46" s="5" t="s">
        <v>39</v>
      </c>
      <c r="F46" s="7">
        <v>20</v>
      </c>
      <c r="G46" s="8">
        <f>57.5</f>
        <v>57.5</v>
      </c>
      <c r="H46" s="9" t="str">
        <f>"/////"</f>
        <v>/////</v>
      </c>
      <c r="I46" s="9" t="str">
        <f>"/////"</f>
        <v>/////</v>
      </c>
      <c r="J46" s="8">
        <f>56.3</f>
        <v>56.3</v>
      </c>
      <c r="K46" s="9" t="str">
        <f>"/////"</f>
        <v>/////</v>
      </c>
      <c r="L46" s="8">
        <f>58.03</f>
        <v>58.03</v>
      </c>
      <c r="M46" s="8">
        <f>59.99</f>
        <v>59.99</v>
      </c>
      <c r="N46" s="9" t="str">
        <f>"/////"</f>
        <v>/////</v>
      </c>
      <c r="O46" s="9">
        <v>57.96</v>
      </c>
      <c r="P46" s="9">
        <f t="shared" si="1"/>
        <v>1159.2</v>
      </c>
    </row>
    <row r="47" spans="1:16" x14ac:dyDescent="0.25">
      <c r="A47" s="5" t="s">
        <v>22</v>
      </c>
      <c r="B47" s="5">
        <v>1</v>
      </c>
      <c r="C47" s="5">
        <v>43</v>
      </c>
      <c r="D47" s="6" t="s">
        <v>69</v>
      </c>
      <c r="E47" s="5" t="s">
        <v>26</v>
      </c>
      <c r="F47" s="7">
        <v>1</v>
      </c>
      <c r="G47" s="8">
        <f>55</f>
        <v>55</v>
      </c>
      <c r="H47" s="8">
        <f>53</f>
        <v>53</v>
      </c>
      <c r="I47" s="8">
        <f>55</f>
        <v>55</v>
      </c>
      <c r="J47" s="8">
        <f>55</f>
        <v>55</v>
      </c>
      <c r="K47" s="9" t="str">
        <f>"/////"</f>
        <v>/////</v>
      </c>
      <c r="L47" s="8">
        <f>55</f>
        <v>55</v>
      </c>
      <c r="M47" s="9" t="str">
        <f>"/////"</f>
        <v>/////</v>
      </c>
      <c r="N47" s="8">
        <f>55</f>
        <v>55</v>
      </c>
      <c r="O47" s="9">
        <v>54.67</v>
      </c>
      <c r="P47" s="9">
        <f t="shared" si="1"/>
        <v>54.67</v>
      </c>
    </row>
    <row r="48" spans="1:16" x14ac:dyDescent="0.25">
      <c r="A48" s="5" t="s">
        <v>22</v>
      </c>
      <c r="B48" s="5">
        <v>1</v>
      </c>
      <c r="C48" s="5">
        <v>44</v>
      </c>
      <c r="D48" s="6" t="s">
        <v>70</v>
      </c>
      <c r="E48" s="5" t="s">
        <v>24</v>
      </c>
      <c r="F48" s="7">
        <v>100</v>
      </c>
      <c r="G48" s="8">
        <f>1.75</f>
        <v>1.75</v>
      </c>
      <c r="H48" s="8">
        <f>1.85</f>
        <v>1.85</v>
      </c>
      <c r="I48" s="8">
        <f>1.8</f>
        <v>1.8</v>
      </c>
      <c r="J48" s="8">
        <f>1.89</f>
        <v>1.89</v>
      </c>
      <c r="K48" s="8">
        <f>1.7</f>
        <v>1.7</v>
      </c>
      <c r="L48" s="8">
        <f>1.85</f>
        <v>1.85</v>
      </c>
      <c r="M48" s="8">
        <f>1.6</f>
        <v>1.6</v>
      </c>
      <c r="N48" s="8">
        <f>1.69</f>
        <v>1.69</v>
      </c>
      <c r="O48" s="9">
        <v>1.77</v>
      </c>
      <c r="P48" s="9">
        <f t="shared" si="1"/>
        <v>177</v>
      </c>
    </row>
    <row r="49" spans="1:16" x14ac:dyDescent="0.25">
      <c r="A49" s="5" t="s">
        <v>22</v>
      </c>
      <c r="B49" s="5">
        <v>1</v>
      </c>
      <c r="C49" s="5">
        <v>45</v>
      </c>
      <c r="D49" s="6" t="s">
        <v>71</v>
      </c>
      <c r="E49" s="5" t="s">
        <v>26</v>
      </c>
      <c r="F49" s="7">
        <v>36</v>
      </c>
      <c r="G49" s="8">
        <f>3.5</f>
        <v>3.5</v>
      </c>
      <c r="H49" s="9" t="str">
        <f>"/////"</f>
        <v>/////</v>
      </c>
      <c r="I49" s="8">
        <f>3.5</f>
        <v>3.5</v>
      </c>
      <c r="J49" s="8">
        <f>3.9</f>
        <v>3.9</v>
      </c>
      <c r="K49" s="9" t="str">
        <f t="shared" ref="K49:K55" si="2">"/////"</f>
        <v>/////</v>
      </c>
      <c r="L49" s="8">
        <f>3.95</f>
        <v>3.95</v>
      </c>
      <c r="M49" s="8">
        <f>3.76</f>
        <v>3.76</v>
      </c>
      <c r="N49" s="8">
        <f>3.7</f>
        <v>3.7</v>
      </c>
      <c r="O49" s="9">
        <v>3.72</v>
      </c>
      <c r="P49" s="9">
        <f t="shared" si="1"/>
        <v>133.92000000000002</v>
      </c>
    </row>
    <row r="50" spans="1:16" x14ac:dyDescent="0.25">
      <c r="A50" s="5" t="s">
        <v>22</v>
      </c>
      <c r="B50" s="5">
        <v>1</v>
      </c>
      <c r="C50" s="5">
        <v>46</v>
      </c>
      <c r="D50" s="6" t="s">
        <v>72</v>
      </c>
      <c r="E50" s="5" t="s">
        <v>26</v>
      </c>
      <c r="F50" s="7">
        <v>20</v>
      </c>
      <c r="G50" s="9" t="str">
        <f>"/////"</f>
        <v>/////</v>
      </c>
      <c r="H50" s="9" t="str">
        <f>"/////"</f>
        <v>/////</v>
      </c>
      <c r="I50" s="8">
        <f>25</f>
        <v>25</v>
      </c>
      <c r="J50" s="8">
        <f>22.78</f>
        <v>22.78</v>
      </c>
      <c r="K50" s="9" t="str">
        <f t="shared" si="2"/>
        <v>/////</v>
      </c>
      <c r="L50" s="9" t="str">
        <f>"/////"</f>
        <v>/////</v>
      </c>
      <c r="M50" s="9" t="str">
        <f>"/////"</f>
        <v>/////</v>
      </c>
      <c r="N50" s="8">
        <f>23.9</f>
        <v>23.9</v>
      </c>
      <c r="O50" s="9">
        <v>23.89</v>
      </c>
      <c r="P50" s="9">
        <f t="shared" si="1"/>
        <v>477.8</v>
      </c>
    </row>
    <row r="51" spans="1:16" x14ac:dyDescent="0.25">
      <c r="A51" s="5" t="s">
        <v>22</v>
      </c>
      <c r="B51" s="5">
        <v>1</v>
      </c>
      <c r="C51" s="5">
        <v>47</v>
      </c>
      <c r="D51" s="6" t="s">
        <v>73</v>
      </c>
      <c r="E51" s="5" t="s">
        <v>26</v>
      </c>
      <c r="F51" s="7">
        <v>50</v>
      </c>
      <c r="G51" s="8">
        <f>32.66</f>
        <v>32.659999999999997</v>
      </c>
      <c r="H51" s="9" t="str">
        <f>"/////"</f>
        <v>/////</v>
      </c>
      <c r="I51" s="8">
        <f>30.5</f>
        <v>30.5</v>
      </c>
      <c r="J51" s="8">
        <f>29</f>
        <v>29</v>
      </c>
      <c r="K51" s="9" t="str">
        <f t="shared" si="2"/>
        <v>/////</v>
      </c>
      <c r="L51" s="8">
        <f>28.25</f>
        <v>28.25</v>
      </c>
      <c r="M51" s="9" t="str">
        <f>"/////"</f>
        <v>/////</v>
      </c>
      <c r="N51" s="8">
        <f>26.5</f>
        <v>26.5</v>
      </c>
      <c r="O51" s="9">
        <v>29.38</v>
      </c>
      <c r="P51" s="9">
        <f t="shared" si="1"/>
        <v>1469</v>
      </c>
    </row>
    <row r="52" spans="1:16" x14ac:dyDescent="0.25">
      <c r="A52" s="5" t="s">
        <v>22</v>
      </c>
      <c r="B52" s="5">
        <v>1</v>
      </c>
      <c r="C52" s="5">
        <v>48</v>
      </c>
      <c r="D52" s="6" t="s">
        <v>74</v>
      </c>
      <c r="E52" s="5" t="s">
        <v>26</v>
      </c>
      <c r="F52" s="7">
        <v>22</v>
      </c>
      <c r="G52" s="8">
        <f>130.91</f>
        <v>130.91</v>
      </c>
      <c r="H52" s="9" t="str">
        <f>"/////"</f>
        <v>/////</v>
      </c>
      <c r="I52" s="9" t="str">
        <f>"/////"</f>
        <v>/////</v>
      </c>
      <c r="J52" s="9" t="str">
        <f>"/////"</f>
        <v>/////</v>
      </c>
      <c r="K52" s="9" t="str">
        <f t="shared" si="2"/>
        <v>/////</v>
      </c>
      <c r="L52" s="8">
        <f>100</f>
        <v>100</v>
      </c>
      <c r="M52" s="8">
        <f>119</f>
        <v>119</v>
      </c>
      <c r="N52" s="8">
        <f>100</f>
        <v>100</v>
      </c>
      <c r="O52" s="9">
        <v>112.48</v>
      </c>
      <c r="P52" s="9">
        <f t="shared" si="1"/>
        <v>2474.56</v>
      </c>
    </row>
    <row r="53" spans="1:16" x14ac:dyDescent="0.25">
      <c r="A53" s="5" t="s">
        <v>22</v>
      </c>
      <c r="B53" s="5">
        <v>1</v>
      </c>
      <c r="C53" s="5">
        <v>49</v>
      </c>
      <c r="D53" s="6" t="s">
        <v>75</v>
      </c>
      <c r="E53" s="5" t="s">
        <v>26</v>
      </c>
      <c r="F53" s="7">
        <v>30</v>
      </c>
      <c r="G53" s="8">
        <f>126</f>
        <v>126</v>
      </c>
      <c r="H53" s="8">
        <f>126.96</f>
        <v>126.96</v>
      </c>
      <c r="I53" s="9" t="str">
        <f>"/////"</f>
        <v>/////</v>
      </c>
      <c r="J53" s="8">
        <f>127.08</f>
        <v>127.08</v>
      </c>
      <c r="K53" s="9" t="str">
        <f t="shared" si="2"/>
        <v>/////</v>
      </c>
      <c r="L53" s="8">
        <f>131.64</f>
        <v>131.63999999999999</v>
      </c>
      <c r="M53" s="8">
        <f>131.4</f>
        <v>131.4</v>
      </c>
      <c r="N53" s="8">
        <f>142.08</f>
        <v>142.08000000000001</v>
      </c>
      <c r="O53" s="9">
        <v>130.86000000000001</v>
      </c>
      <c r="P53" s="9">
        <f t="shared" si="1"/>
        <v>3925.8</v>
      </c>
    </row>
    <row r="54" spans="1:16" x14ac:dyDescent="0.25">
      <c r="A54" s="5" t="s">
        <v>22</v>
      </c>
      <c r="B54" s="5">
        <v>1</v>
      </c>
      <c r="C54" s="5">
        <v>50</v>
      </c>
      <c r="D54" s="6" t="s">
        <v>76</v>
      </c>
      <c r="E54" s="5" t="s">
        <v>26</v>
      </c>
      <c r="F54" s="7">
        <v>10</v>
      </c>
      <c r="G54" s="8">
        <f>18.5</f>
        <v>18.5</v>
      </c>
      <c r="H54" s="8">
        <f>17</f>
        <v>17</v>
      </c>
      <c r="I54" s="9" t="str">
        <f>"/////"</f>
        <v>/////</v>
      </c>
      <c r="J54" s="8">
        <f>19.55</f>
        <v>19.55</v>
      </c>
      <c r="K54" s="9" t="str">
        <f t="shared" si="2"/>
        <v>/////</v>
      </c>
      <c r="L54" s="8">
        <f>19.6</f>
        <v>19.600000000000001</v>
      </c>
      <c r="M54" s="9" t="str">
        <f>"/////"</f>
        <v>/////</v>
      </c>
      <c r="N54" s="9" t="str">
        <f>"/////"</f>
        <v>/////</v>
      </c>
      <c r="O54" s="9">
        <v>18.66</v>
      </c>
      <c r="P54" s="9">
        <f t="shared" si="1"/>
        <v>186.6</v>
      </c>
    </row>
    <row r="55" spans="1:16" x14ac:dyDescent="0.25">
      <c r="A55" s="5" t="s">
        <v>22</v>
      </c>
      <c r="B55" s="5">
        <v>1</v>
      </c>
      <c r="C55" s="5">
        <v>51</v>
      </c>
      <c r="D55" s="6" t="s">
        <v>77</v>
      </c>
      <c r="E55" s="5" t="s">
        <v>26</v>
      </c>
      <c r="F55" s="7">
        <v>4</v>
      </c>
      <c r="G55" s="8">
        <f>56.16</f>
        <v>56.16</v>
      </c>
      <c r="H55" s="8">
        <f>53.64</f>
        <v>53.64</v>
      </c>
      <c r="I55" s="9" t="str">
        <f>"/////"</f>
        <v>/////</v>
      </c>
      <c r="J55" s="8">
        <f>51.6</f>
        <v>51.6</v>
      </c>
      <c r="K55" s="9" t="str">
        <f t="shared" si="2"/>
        <v>/////</v>
      </c>
      <c r="L55" s="9" t="str">
        <f>"/////"</f>
        <v>/////</v>
      </c>
      <c r="M55" s="8">
        <f>51.84</f>
        <v>51.84</v>
      </c>
      <c r="N55" s="9" t="str">
        <f>"/////"</f>
        <v>/////</v>
      </c>
      <c r="O55" s="9">
        <v>53.31</v>
      </c>
      <c r="P55" s="9">
        <f t="shared" si="1"/>
        <v>213.24</v>
      </c>
    </row>
    <row r="56" spans="1:16" x14ac:dyDescent="0.25">
      <c r="A56" s="5" t="s">
        <v>22</v>
      </c>
      <c r="B56" s="5">
        <v>1</v>
      </c>
      <c r="C56" s="5">
        <v>52</v>
      </c>
      <c r="D56" s="6" t="s">
        <v>78</v>
      </c>
      <c r="E56" s="5" t="s">
        <v>26</v>
      </c>
      <c r="F56" s="7">
        <v>1</v>
      </c>
      <c r="G56" s="8">
        <f>70</f>
        <v>70</v>
      </c>
      <c r="H56" s="9" t="str">
        <f>"/////"</f>
        <v>/////</v>
      </c>
      <c r="I56" s="8">
        <f>75</f>
        <v>75</v>
      </c>
      <c r="J56" s="8">
        <f>76</f>
        <v>76</v>
      </c>
      <c r="K56" s="8">
        <f>74</f>
        <v>74</v>
      </c>
      <c r="L56" s="8">
        <f>75</f>
        <v>75</v>
      </c>
      <c r="M56" s="9" t="str">
        <f>"/////"</f>
        <v>/////</v>
      </c>
      <c r="N56" s="9" t="str">
        <f>"/////"</f>
        <v>/////</v>
      </c>
      <c r="O56" s="9">
        <v>74</v>
      </c>
      <c r="P56" s="9">
        <f t="shared" si="1"/>
        <v>74</v>
      </c>
    </row>
    <row r="57" spans="1:16" ht="22.5" x14ac:dyDescent="0.25">
      <c r="A57" s="5" t="s">
        <v>22</v>
      </c>
      <c r="B57" s="5">
        <v>1</v>
      </c>
      <c r="C57" s="5">
        <v>53</v>
      </c>
      <c r="D57" s="6" t="s">
        <v>79</v>
      </c>
      <c r="E57" s="5" t="s">
        <v>24</v>
      </c>
      <c r="F57" s="7">
        <v>200</v>
      </c>
      <c r="G57" s="8">
        <f>6.9</f>
        <v>6.9</v>
      </c>
      <c r="H57" s="9" t="str">
        <f>"/////"</f>
        <v>/////</v>
      </c>
      <c r="I57" s="8">
        <f>6.74</f>
        <v>6.74</v>
      </c>
      <c r="J57" s="8">
        <f>6.75</f>
        <v>6.75</v>
      </c>
      <c r="K57" s="9" t="str">
        <f>"/////"</f>
        <v>/////</v>
      </c>
      <c r="L57" s="8">
        <f>7</f>
        <v>7</v>
      </c>
      <c r="M57" s="8">
        <f>6.9</f>
        <v>6.9</v>
      </c>
      <c r="N57" s="8">
        <f>6.1</f>
        <v>6.1</v>
      </c>
      <c r="O57" s="9">
        <v>6.73</v>
      </c>
      <c r="P57" s="9">
        <f t="shared" si="1"/>
        <v>1346</v>
      </c>
    </row>
    <row r="58" spans="1:16" x14ac:dyDescent="0.25">
      <c r="A58" s="5" t="s">
        <v>22</v>
      </c>
      <c r="B58" s="5">
        <v>1</v>
      </c>
      <c r="C58" s="5">
        <v>54</v>
      </c>
      <c r="D58" s="6" t="s">
        <v>80</v>
      </c>
      <c r="E58" s="5" t="s">
        <v>24</v>
      </c>
      <c r="F58" s="7">
        <v>200</v>
      </c>
      <c r="G58" s="8">
        <f>4.32</f>
        <v>4.32</v>
      </c>
      <c r="H58" s="9" t="str">
        <f>"/////"</f>
        <v>/////</v>
      </c>
      <c r="I58" s="8">
        <f>4.99</f>
        <v>4.99</v>
      </c>
      <c r="J58" s="8">
        <f>5</f>
        <v>5</v>
      </c>
      <c r="K58" s="8">
        <f>4.98</f>
        <v>4.9800000000000004</v>
      </c>
      <c r="L58" s="8">
        <f>5</f>
        <v>5</v>
      </c>
      <c r="M58" s="9" t="str">
        <f>"/////"</f>
        <v>/////</v>
      </c>
      <c r="N58" s="8">
        <f>4.49</f>
        <v>4.49</v>
      </c>
      <c r="O58" s="9">
        <v>4.8</v>
      </c>
      <c r="P58" s="9">
        <f t="shared" si="1"/>
        <v>960</v>
      </c>
    </row>
    <row r="59" spans="1:16" x14ac:dyDescent="0.25">
      <c r="A59" s="5" t="s">
        <v>22</v>
      </c>
      <c r="B59" s="5">
        <v>1</v>
      </c>
      <c r="C59" s="5">
        <v>55</v>
      </c>
      <c r="D59" s="6" t="s">
        <v>81</v>
      </c>
      <c r="E59" s="5" t="s">
        <v>24</v>
      </c>
      <c r="F59" s="7">
        <v>200</v>
      </c>
      <c r="G59" s="8">
        <f>2.94</f>
        <v>2.94</v>
      </c>
      <c r="H59" s="9" t="str">
        <f>"/////"</f>
        <v>/////</v>
      </c>
      <c r="I59" s="8">
        <f>3</f>
        <v>3</v>
      </c>
      <c r="J59" s="9" t="str">
        <f>"/////"</f>
        <v>/////</v>
      </c>
      <c r="K59" s="9" t="str">
        <f>"/////"</f>
        <v>/////</v>
      </c>
      <c r="L59" s="8">
        <f>3</f>
        <v>3</v>
      </c>
      <c r="M59" s="8">
        <f>3</f>
        <v>3</v>
      </c>
      <c r="N59" s="9" t="str">
        <f>"/////"</f>
        <v>/////</v>
      </c>
      <c r="O59" s="9">
        <v>2.99</v>
      </c>
      <c r="P59" s="9">
        <f t="shared" si="1"/>
        <v>598</v>
      </c>
    </row>
    <row r="60" spans="1:16" x14ac:dyDescent="0.25">
      <c r="A60" s="5" t="s">
        <v>22</v>
      </c>
      <c r="B60" s="5">
        <v>1</v>
      </c>
      <c r="C60" s="5">
        <v>56</v>
      </c>
      <c r="D60" s="6" t="s">
        <v>82</v>
      </c>
      <c r="E60" s="5" t="s">
        <v>24</v>
      </c>
      <c r="F60" s="7">
        <v>50</v>
      </c>
      <c r="G60" s="9" t="str">
        <f>"/////"</f>
        <v>/////</v>
      </c>
      <c r="H60" s="8">
        <f>4.19</f>
        <v>4.1900000000000004</v>
      </c>
      <c r="I60" s="9" t="str">
        <f>"/////"</f>
        <v>/////</v>
      </c>
      <c r="J60" s="9" t="str">
        <f>"/////"</f>
        <v>/////</v>
      </c>
      <c r="K60" s="9" t="str">
        <f>"/////"</f>
        <v>/////</v>
      </c>
      <c r="L60" s="8">
        <f>3.78</f>
        <v>3.78</v>
      </c>
      <c r="M60" s="8">
        <f>4.53</f>
        <v>4.53</v>
      </c>
      <c r="N60" s="9" t="str">
        <f>"/////"</f>
        <v>/////</v>
      </c>
      <c r="O60" s="9">
        <v>4.17</v>
      </c>
      <c r="P60" s="9">
        <f t="shared" si="1"/>
        <v>208.5</v>
      </c>
    </row>
    <row r="61" spans="1:16" x14ac:dyDescent="0.25">
      <c r="A61" s="5" t="s">
        <v>22</v>
      </c>
      <c r="B61" s="5">
        <v>1</v>
      </c>
      <c r="C61" s="5">
        <v>57</v>
      </c>
      <c r="D61" s="6" t="s">
        <v>83</v>
      </c>
      <c r="E61" s="5" t="s">
        <v>24</v>
      </c>
      <c r="F61" s="7">
        <v>50</v>
      </c>
      <c r="G61" s="9" t="str">
        <f>"/////"</f>
        <v>/////</v>
      </c>
      <c r="H61" s="8">
        <f>6.2</f>
        <v>6.2</v>
      </c>
      <c r="I61" s="9" t="str">
        <f>"/////"</f>
        <v>/////</v>
      </c>
      <c r="J61" s="8">
        <f>6.8</f>
        <v>6.8</v>
      </c>
      <c r="K61" s="9" t="str">
        <f>"/////"</f>
        <v>/////</v>
      </c>
      <c r="L61" s="8">
        <f>6.72</f>
        <v>6.72</v>
      </c>
      <c r="M61" s="9" t="str">
        <f>"/////"</f>
        <v>/////</v>
      </c>
      <c r="N61" s="8">
        <f>7.4</f>
        <v>7.4</v>
      </c>
      <c r="O61" s="9">
        <v>6.78</v>
      </c>
      <c r="P61" s="9">
        <f t="shared" si="1"/>
        <v>339</v>
      </c>
    </row>
    <row r="62" spans="1:16" x14ac:dyDescent="0.25">
      <c r="A62" s="5" t="s">
        <v>22</v>
      </c>
      <c r="B62" s="5">
        <v>1</v>
      </c>
      <c r="C62" s="5">
        <v>58</v>
      </c>
      <c r="D62" s="6" t="s">
        <v>84</v>
      </c>
      <c r="E62" s="5" t="s">
        <v>24</v>
      </c>
      <c r="F62" s="7">
        <v>50</v>
      </c>
      <c r="G62" s="9" t="str">
        <f>"/////"</f>
        <v>/////</v>
      </c>
      <c r="H62" s="8">
        <f>10.2</f>
        <v>10.199999999999999</v>
      </c>
      <c r="I62" s="9" t="str">
        <f>"/////"</f>
        <v>/////</v>
      </c>
      <c r="J62" s="8">
        <f>10.7</f>
        <v>10.7</v>
      </c>
      <c r="K62" s="9" t="str">
        <f>"/////"</f>
        <v>/////</v>
      </c>
      <c r="L62" s="8">
        <f>10.18</f>
        <v>10.18</v>
      </c>
      <c r="M62" s="9" t="str">
        <f>"/////"</f>
        <v>/////</v>
      </c>
      <c r="N62" s="9" t="str">
        <f>"/////"</f>
        <v>/////</v>
      </c>
      <c r="O62" s="9">
        <v>10.36</v>
      </c>
      <c r="P62" s="9">
        <f t="shared" si="1"/>
        <v>518</v>
      </c>
    </row>
    <row r="63" spans="1:16" x14ac:dyDescent="0.25">
      <c r="A63" s="5" t="s">
        <v>22</v>
      </c>
      <c r="B63" s="5">
        <v>1</v>
      </c>
      <c r="C63" s="5">
        <v>59</v>
      </c>
      <c r="D63" s="6" t="s">
        <v>85</v>
      </c>
      <c r="E63" s="5" t="s">
        <v>24</v>
      </c>
      <c r="F63" s="7">
        <v>55</v>
      </c>
      <c r="G63" s="8">
        <f>11</f>
        <v>11</v>
      </c>
      <c r="H63" s="9" t="str">
        <f>"/////"</f>
        <v>/////</v>
      </c>
      <c r="I63" s="9" t="str">
        <f>"/////"</f>
        <v>/////</v>
      </c>
      <c r="J63" s="8">
        <f>10.1</f>
        <v>10.1</v>
      </c>
      <c r="K63" s="9" t="str">
        <f>"/////"</f>
        <v>/////</v>
      </c>
      <c r="L63" s="8">
        <f>10.74</f>
        <v>10.74</v>
      </c>
      <c r="M63" s="8">
        <f>10.6</f>
        <v>10.6</v>
      </c>
      <c r="N63" s="9" t="str">
        <f>"/////"</f>
        <v>/////</v>
      </c>
      <c r="O63" s="9">
        <v>10.61</v>
      </c>
      <c r="P63" s="9">
        <f t="shared" si="1"/>
        <v>583.54999999999995</v>
      </c>
    </row>
    <row r="64" spans="1:16" x14ac:dyDescent="0.25">
      <c r="A64" s="5" t="s">
        <v>22</v>
      </c>
      <c r="B64" s="5">
        <v>1</v>
      </c>
      <c r="C64" s="5">
        <v>60</v>
      </c>
      <c r="D64" s="6" t="s">
        <v>86</v>
      </c>
      <c r="E64" s="5" t="s">
        <v>24</v>
      </c>
      <c r="F64" s="7">
        <v>50</v>
      </c>
      <c r="G64" s="8">
        <f>31</f>
        <v>31</v>
      </c>
      <c r="H64" s="8">
        <f>33</f>
        <v>33</v>
      </c>
      <c r="I64" s="9" t="str">
        <f>"/////"</f>
        <v>/////</v>
      </c>
      <c r="J64" s="8">
        <f>26.2</f>
        <v>26.2</v>
      </c>
      <c r="K64" s="9" t="str">
        <f>"/////"</f>
        <v>/////</v>
      </c>
      <c r="L64" s="9" t="str">
        <f>"/////"</f>
        <v>/////</v>
      </c>
      <c r="M64" s="9" t="str">
        <f>"/////"</f>
        <v>/////</v>
      </c>
      <c r="N64" s="9" t="str">
        <f>"/////"</f>
        <v>/////</v>
      </c>
      <c r="O64" s="9">
        <v>30.07</v>
      </c>
      <c r="P64" s="9">
        <f t="shared" si="1"/>
        <v>1503.5</v>
      </c>
    </row>
    <row r="65" spans="1:16" x14ac:dyDescent="0.25">
      <c r="A65" s="5" t="s">
        <v>22</v>
      </c>
      <c r="B65" s="5">
        <v>1</v>
      </c>
      <c r="C65" s="5">
        <v>61</v>
      </c>
      <c r="D65" s="6" t="s">
        <v>87</v>
      </c>
      <c r="E65" s="5" t="s">
        <v>24</v>
      </c>
      <c r="F65" s="7">
        <v>200</v>
      </c>
      <c r="G65" s="8">
        <f>6.138</f>
        <v>6.1379999999999999</v>
      </c>
      <c r="H65" s="8">
        <f>6</f>
        <v>6</v>
      </c>
      <c r="I65" s="8">
        <f>7</f>
        <v>7</v>
      </c>
      <c r="J65" s="8">
        <f>6.5</f>
        <v>6.5</v>
      </c>
      <c r="K65" s="8">
        <f>6</f>
        <v>6</v>
      </c>
      <c r="L65" s="8">
        <f>6.5</f>
        <v>6.5</v>
      </c>
      <c r="M65" s="8">
        <f>6.8</f>
        <v>6.8</v>
      </c>
      <c r="N65" s="8">
        <f>6.95</f>
        <v>6.95</v>
      </c>
      <c r="O65" s="9">
        <v>6.49</v>
      </c>
      <c r="P65" s="9">
        <f t="shared" si="1"/>
        <v>1298</v>
      </c>
    </row>
    <row r="66" spans="1:16" x14ac:dyDescent="0.25">
      <c r="A66" s="5" t="s">
        <v>22</v>
      </c>
      <c r="B66" s="5">
        <v>1</v>
      </c>
      <c r="C66" s="5">
        <v>62</v>
      </c>
      <c r="D66" s="6" t="s">
        <v>88</v>
      </c>
      <c r="E66" s="5" t="s">
        <v>24</v>
      </c>
      <c r="F66" s="7">
        <v>20</v>
      </c>
      <c r="G66" s="9" t="str">
        <f>"/////"</f>
        <v>/////</v>
      </c>
      <c r="H66" s="9" t="str">
        <f>"/////"</f>
        <v>/////</v>
      </c>
      <c r="I66" s="9" t="str">
        <f>"/////"</f>
        <v>/////</v>
      </c>
      <c r="J66" s="8">
        <f>5</f>
        <v>5</v>
      </c>
      <c r="K66" s="9" t="str">
        <f>"/////"</f>
        <v>/////</v>
      </c>
      <c r="L66" s="8">
        <f>5</f>
        <v>5</v>
      </c>
      <c r="M66" s="9" t="str">
        <f>"/////"</f>
        <v>/////</v>
      </c>
      <c r="N66" s="8">
        <f>4.99</f>
        <v>4.99</v>
      </c>
      <c r="O66" s="9">
        <v>5</v>
      </c>
      <c r="P66" s="9">
        <f t="shared" si="1"/>
        <v>100</v>
      </c>
    </row>
    <row r="67" spans="1:16" x14ac:dyDescent="0.25">
      <c r="A67" s="5" t="s">
        <v>22</v>
      </c>
      <c r="B67" s="5">
        <v>1</v>
      </c>
      <c r="C67" s="5">
        <v>63</v>
      </c>
      <c r="D67" s="6" t="s">
        <v>89</v>
      </c>
      <c r="E67" s="5" t="s">
        <v>26</v>
      </c>
      <c r="F67" s="7">
        <v>30</v>
      </c>
      <c r="G67" s="8">
        <f>5.54</f>
        <v>5.54</v>
      </c>
      <c r="H67" s="8">
        <f>5.5</f>
        <v>5.5</v>
      </c>
      <c r="I67" s="8">
        <f>5.6</f>
        <v>5.6</v>
      </c>
      <c r="J67" s="8">
        <f>5.81</f>
        <v>5.81</v>
      </c>
      <c r="K67" s="9" t="str">
        <f>"/////"</f>
        <v>/////</v>
      </c>
      <c r="L67" s="8">
        <f>5.782</f>
        <v>5.782</v>
      </c>
      <c r="M67" s="8">
        <f>5.57</f>
        <v>5.57</v>
      </c>
      <c r="N67" s="9" t="str">
        <f>"/////"</f>
        <v>/////</v>
      </c>
      <c r="O67" s="9">
        <v>5.63</v>
      </c>
      <c r="P67" s="9">
        <f t="shared" si="1"/>
        <v>168.9</v>
      </c>
    </row>
    <row r="68" spans="1:16" x14ac:dyDescent="0.25">
      <c r="A68" s="5" t="s">
        <v>22</v>
      </c>
      <c r="B68" s="5">
        <v>1</v>
      </c>
      <c r="C68" s="5">
        <v>64</v>
      </c>
      <c r="D68" s="6" t="s">
        <v>90</v>
      </c>
      <c r="E68" s="5" t="s">
        <v>24</v>
      </c>
      <c r="F68" s="7">
        <v>6</v>
      </c>
      <c r="G68" s="8">
        <f>67.65</f>
        <v>67.650000000000006</v>
      </c>
      <c r="H68" s="8">
        <f>73.72</f>
        <v>73.72</v>
      </c>
      <c r="I68" s="8">
        <f>72.66</f>
        <v>72.66</v>
      </c>
      <c r="J68" s="8">
        <f>72.16</f>
        <v>72.16</v>
      </c>
      <c r="K68" s="8">
        <f>68.56</f>
        <v>68.56</v>
      </c>
      <c r="L68" s="8">
        <f>71.4</f>
        <v>71.400000000000006</v>
      </c>
      <c r="M68" s="8">
        <f>65.88</f>
        <v>65.88</v>
      </c>
      <c r="N68" s="8">
        <f>70</f>
        <v>70</v>
      </c>
      <c r="O68" s="9">
        <v>70.25</v>
      </c>
      <c r="P68" s="9">
        <f t="shared" si="1"/>
        <v>421.5</v>
      </c>
    </row>
    <row r="69" spans="1:16" x14ac:dyDescent="0.25">
      <c r="A69" s="5" t="s">
        <v>22</v>
      </c>
      <c r="B69" s="5">
        <v>1</v>
      </c>
      <c r="C69" s="5">
        <v>65</v>
      </c>
      <c r="D69" s="6" t="s">
        <v>91</v>
      </c>
      <c r="E69" s="5" t="s">
        <v>24</v>
      </c>
      <c r="F69" s="7">
        <v>24</v>
      </c>
      <c r="G69" s="8">
        <f>5.75</f>
        <v>5.75</v>
      </c>
      <c r="H69" s="8">
        <f>5.99</f>
        <v>5.99</v>
      </c>
      <c r="I69" s="8">
        <f>5.93</f>
        <v>5.93</v>
      </c>
      <c r="J69" s="8">
        <f>5.8</f>
        <v>5.8</v>
      </c>
      <c r="K69" s="8">
        <f>5.98</f>
        <v>5.98</v>
      </c>
      <c r="L69" s="8">
        <f>6</f>
        <v>6</v>
      </c>
      <c r="M69" s="8">
        <f>5.99</f>
        <v>5.99</v>
      </c>
      <c r="N69" s="8">
        <f>5.99</f>
        <v>5.99</v>
      </c>
      <c r="O69" s="9">
        <v>5.93</v>
      </c>
      <c r="P69" s="9">
        <f t="shared" ref="P69:P77" si="3">SUM(IF(ISERROR(F69*ROUND(O69,2)),0,F69*ROUND(O69,2)))</f>
        <v>142.32</v>
      </c>
    </row>
    <row r="70" spans="1:16" x14ac:dyDescent="0.25">
      <c r="A70" s="5" t="s">
        <v>22</v>
      </c>
      <c r="B70" s="5">
        <v>1</v>
      </c>
      <c r="C70" s="5">
        <v>66</v>
      </c>
      <c r="D70" s="6" t="s">
        <v>92</v>
      </c>
      <c r="E70" s="5" t="s">
        <v>24</v>
      </c>
      <c r="F70" s="7">
        <v>10</v>
      </c>
      <c r="G70" s="8">
        <f>14.17</f>
        <v>14.17</v>
      </c>
      <c r="H70" s="9" t="str">
        <f>"/////"</f>
        <v>/////</v>
      </c>
      <c r="I70" s="8">
        <f>14</f>
        <v>14</v>
      </c>
      <c r="J70" s="8">
        <f>14.8</f>
        <v>14.8</v>
      </c>
      <c r="K70" s="8">
        <f>15.9</f>
        <v>15.9</v>
      </c>
      <c r="L70" s="8">
        <f>15</f>
        <v>15</v>
      </c>
      <c r="M70" s="9" t="str">
        <f>"/////"</f>
        <v>/////</v>
      </c>
      <c r="N70" s="8">
        <f>14.99</f>
        <v>14.99</v>
      </c>
      <c r="O70" s="9">
        <v>14.81</v>
      </c>
      <c r="P70" s="9">
        <f t="shared" si="3"/>
        <v>148.1</v>
      </c>
    </row>
    <row r="71" spans="1:16" x14ac:dyDescent="0.25">
      <c r="A71" s="5" t="s">
        <v>22</v>
      </c>
      <c r="B71" s="5">
        <v>1</v>
      </c>
      <c r="C71" s="5">
        <v>67</v>
      </c>
      <c r="D71" s="6" t="s">
        <v>93</v>
      </c>
      <c r="E71" s="5" t="s">
        <v>24</v>
      </c>
      <c r="F71" s="7">
        <v>8</v>
      </c>
      <c r="G71" s="9" t="str">
        <f>"/////"</f>
        <v>/////</v>
      </c>
      <c r="H71" s="9" t="str">
        <f>"/////"</f>
        <v>/////</v>
      </c>
      <c r="I71" s="8">
        <f>6</f>
        <v>6</v>
      </c>
      <c r="J71" s="9" t="str">
        <f>"/////"</f>
        <v>/////</v>
      </c>
      <c r="K71" s="8">
        <f>5.1</f>
        <v>5.0999999999999996</v>
      </c>
      <c r="L71" s="8">
        <f>5.5</f>
        <v>5.5</v>
      </c>
      <c r="M71" s="8">
        <f>6.25</f>
        <v>6.25</v>
      </c>
      <c r="N71" s="9" t="str">
        <f>"/////"</f>
        <v>/////</v>
      </c>
      <c r="O71" s="9">
        <v>5.71</v>
      </c>
      <c r="P71" s="9">
        <f t="shared" si="3"/>
        <v>45.68</v>
      </c>
    </row>
    <row r="72" spans="1:16" x14ac:dyDescent="0.25">
      <c r="A72" s="5" t="s">
        <v>22</v>
      </c>
      <c r="B72" s="5">
        <v>1</v>
      </c>
      <c r="C72" s="5">
        <v>68</v>
      </c>
      <c r="D72" s="6" t="s">
        <v>94</v>
      </c>
      <c r="E72" s="5" t="s">
        <v>95</v>
      </c>
      <c r="F72" s="7">
        <v>1</v>
      </c>
      <c r="G72" s="8">
        <f>58.5</f>
        <v>58.5</v>
      </c>
      <c r="H72" s="8">
        <f>59.92</f>
        <v>59.92</v>
      </c>
      <c r="I72" s="8">
        <f>56.99</f>
        <v>56.99</v>
      </c>
      <c r="J72" s="8">
        <f>57</f>
        <v>57</v>
      </c>
      <c r="K72" s="8">
        <f>59.04</f>
        <v>59.04</v>
      </c>
      <c r="L72" s="8">
        <f>59.5</f>
        <v>59.5</v>
      </c>
      <c r="M72" s="8">
        <f>57</f>
        <v>57</v>
      </c>
      <c r="N72" s="8">
        <f>60</f>
        <v>60</v>
      </c>
      <c r="O72" s="9">
        <v>58.49</v>
      </c>
      <c r="P72" s="9">
        <f t="shared" si="3"/>
        <v>58.49</v>
      </c>
    </row>
    <row r="73" spans="1:16" x14ac:dyDescent="0.25">
      <c r="A73" s="5" t="s">
        <v>22</v>
      </c>
      <c r="B73" s="5">
        <v>1</v>
      </c>
      <c r="C73" s="5">
        <v>69</v>
      </c>
      <c r="D73" s="6" t="s">
        <v>96</v>
      </c>
      <c r="E73" s="5" t="s">
        <v>95</v>
      </c>
      <c r="F73" s="7">
        <v>1</v>
      </c>
      <c r="G73" s="8">
        <f>58.5</f>
        <v>58.5</v>
      </c>
      <c r="H73" s="8">
        <f>59.92</f>
        <v>59.92</v>
      </c>
      <c r="I73" s="8">
        <f>56.99</f>
        <v>56.99</v>
      </c>
      <c r="J73" s="8">
        <f>57</f>
        <v>57</v>
      </c>
      <c r="K73" s="8">
        <f>59.04</f>
        <v>59.04</v>
      </c>
      <c r="L73" s="8">
        <f>59.5</f>
        <v>59.5</v>
      </c>
      <c r="M73" s="8">
        <f>57</f>
        <v>57</v>
      </c>
      <c r="N73" s="8">
        <f>60</f>
        <v>60</v>
      </c>
      <c r="O73" s="9">
        <v>58.49</v>
      </c>
      <c r="P73" s="9">
        <f t="shared" si="3"/>
        <v>58.49</v>
      </c>
    </row>
    <row r="74" spans="1:16" x14ac:dyDescent="0.25">
      <c r="A74" s="5" t="s">
        <v>22</v>
      </c>
      <c r="B74" s="5">
        <v>1</v>
      </c>
      <c r="C74" s="5">
        <v>70</v>
      </c>
      <c r="D74" s="6" t="s">
        <v>97</v>
      </c>
      <c r="E74" s="5" t="s">
        <v>95</v>
      </c>
      <c r="F74" s="7">
        <v>1</v>
      </c>
      <c r="G74" s="8">
        <f>58.5</f>
        <v>58.5</v>
      </c>
      <c r="H74" s="8">
        <f>59.92</f>
        <v>59.92</v>
      </c>
      <c r="I74" s="8">
        <f>56.99</f>
        <v>56.99</v>
      </c>
      <c r="J74" s="8">
        <f>57</f>
        <v>57</v>
      </c>
      <c r="K74" s="8">
        <f>59.04</f>
        <v>59.04</v>
      </c>
      <c r="L74" s="8">
        <f>59.5</f>
        <v>59.5</v>
      </c>
      <c r="M74" s="8">
        <f>57</f>
        <v>57</v>
      </c>
      <c r="N74" s="8">
        <f>60</f>
        <v>60</v>
      </c>
      <c r="O74" s="9">
        <v>58.49</v>
      </c>
      <c r="P74" s="9">
        <f t="shared" si="3"/>
        <v>58.49</v>
      </c>
    </row>
    <row r="75" spans="1:16" x14ac:dyDescent="0.25">
      <c r="A75" s="5" t="s">
        <v>22</v>
      </c>
      <c r="B75" s="5">
        <v>1</v>
      </c>
      <c r="C75" s="5">
        <v>71</v>
      </c>
      <c r="D75" s="6" t="s">
        <v>98</v>
      </c>
      <c r="E75" s="5" t="s">
        <v>95</v>
      </c>
      <c r="F75" s="7">
        <v>1</v>
      </c>
      <c r="G75" s="8">
        <f>58.5</f>
        <v>58.5</v>
      </c>
      <c r="H75" s="8">
        <f>59.92</f>
        <v>59.92</v>
      </c>
      <c r="I75" s="8">
        <f>56.99</f>
        <v>56.99</v>
      </c>
      <c r="J75" s="8">
        <f>57</f>
        <v>57</v>
      </c>
      <c r="K75" s="8">
        <f>59.04</f>
        <v>59.04</v>
      </c>
      <c r="L75" s="8">
        <f>59.5</f>
        <v>59.5</v>
      </c>
      <c r="M75" s="8">
        <f>57</f>
        <v>57</v>
      </c>
      <c r="N75" s="8">
        <f>60</f>
        <v>60</v>
      </c>
      <c r="O75" s="9">
        <v>58.49</v>
      </c>
      <c r="P75" s="9">
        <f t="shared" si="3"/>
        <v>58.49</v>
      </c>
    </row>
    <row r="76" spans="1:16" x14ac:dyDescent="0.25">
      <c r="A76" s="5" t="s">
        <v>22</v>
      </c>
      <c r="B76" s="5">
        <v>1</v>
      </c>
      <c r="C76" s="5">
        <v>72</v>
      </c>
      <c r="D76" s="6" t="s">
        <v>99</v>
      </c>
      <c r="E76" s="5" t="s">
        <v>24</v>
      </c>
      <c r="F76" s="7">
        <v>3</v>
      </c>
      <c r="G76" s="8">
        <f>32.99</f>
        <v>32.99</v>
      </c>
      <c r="H76" s="9" t="str">
        <f>"/////"</f>
        <v>/////</v>
      </c>
      <c r="I76" s="8">
        <f>29.12</f>
        <v>29.12</v>
      </c>
      <c r="J76" s="8">
        <f>27.99</f>
        <v>27.99</v>
      </c>
      <c r="K76" s="9" t="str">
        <f>"/////"</f>
        <v>/////</v>
      </c>
      <c r="L76" s="8">
        <f>33.57</f>
        <v>33.57</v>
      </c>
      <c r="M76" s="8">
        <f>28.79</f>
        <v>28.79</v>
      </c>
      <c r="N76" s="8">
        <f>27</f>
        <v>27</v>
      </c>
      <c r="O76" s="9">
        <v>29.91</v>
      </c>
      <c r="P76" s="9">
        <f t="shared" si="3"/>
        <v>89.73</v>
      </c>
    </row>
    <row r="77" spans="1:16" x14ac:dyDescent="0.25">
      <c r="A77" s="5" t="s">
        <v>22</v>
      </c>
      <c r="B77" s="5">
        <v>1</v>
      </c>
      <c r="C77" s="5">
        <v>73</v>
      </c>
      <c r="D77" s="6" t="s">
        <v>100</v>
      </c>
      <c r="E77" s="5" t="s">
        <v>24</v>
      </c>
      <c r="F77" s="7">
        <v>2</v>
      </c>
      <c r="G77" s="9" t="str">
        <f>"/////"</f>
        <v>/////</v>
      </c>
      <c r="H77" s="9" t="str">
        <f>"/////"</f>
        <v>/////</v>
      </c>
      <c r="I77" s="8">
        <f>23</f>
        <v>23</v>
      </c>
      <c r="J77" s="8">
        <f>20</f>
        <v>20</v>
      </c>
      <c r="K77" s="9" t="str">
        <f>"/////"</f>
        <v>/////</v>
      </c>
      <c r="L77" s="8">
        <f>22.4</f>
        <v>22.4</v>
      </c>
      <c r="M77" s="8">
        <f>19.5</f>
        <v>19.5</v>
      </c>
      <c r="N77" s="9" t="str">
        <f>"/////"</f>
        <v>/////</v>
      </c>
      <c r="O77" s="9">
        <v>21.23</v>
      </c>
      <c r="P77" s="9">
        <f t="shared" si="3"/>
        <v>42.46</v>
      </c>
    </row>
    <row r="78" spans="1:16" x14ac:dyDescent="0.25">
      <c r="A78" s="11" t="s">
        <v>101</v>
      </c>
      <c r="B78" s="11"/>
      <c r="C78" s="11"/>
      <c r="D78" s="11"/>
      <c r="E78" s="11"/>
      <c r="F78" s="11"/>
      <c r="G78" s="9" t="str">
        <f>"/////"</f>
        <v>/////</v>
      </c>
      <c r="H78" s="9" t="str">
        <f>"/////"</f>
        <v>/////</v>
      </c>
      <c r="I78" s="9" t="str">
        <f>"/////"</f>
        <v>/////</v>
      </c>
      <c r="J78" s="9" t="str">
        <f>"/////"</f>
        <v>/////</v>
      </c>
      <c r="K78" s="9" t="str">
        <f>"/////"</f>
        <v>/////</v>
      </c>
      <c r="L78" s="9" t="str">
        <f>"/////"</f>
        <v>/////</v>
      </c>
      <c r="M78" s="9" t="str">
        <f>"/////"</f>
        <v>/////</v>
      </c>
      <c r="N78" s="9" t="str">
        <f>"/////"</f>
        <v>/////</v>
      </c>
      <c r="O78" s="9" t="s">
        <v>102</v>
      </c>
      <c r="P78" s="9">
        <f>SUM(P5:P77)</f>
        <v>217651.87999999986</v>
      </c>
    </row>
    <row r="79" spans="1:16" ht="15.75" x14ac:dyDescent="0.25">
      <c r="A79" s="12" t="s">
        <v>103</v>
      </c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3">
        <f>SUM(P5:P77)</f>
        <v>217651.87999999986</v>
      </c>
      <c r="P79" s="13"/>
    </row>
  </sheetData>
  <mergeCells count="10">
    <mergeCell ref="A78:F78"/>
    <mergeCell ref="A79:N79"/>
    <mergeCell ref="O79:P79"/>
    <mergeCell ref="A1:P1"/>
    <mergeCell ref="A2:C2"/>
    <mergeCell ref="D2:N2"/>
    <mergeCell ref="O2:P2"/>
    <mergeCell ref="A3:C3"/>
    <mergeCell ref="D3:N3"/>
    <mergeCell ref="O3:P3"/>
  </mergeCells>
  <pageMargins left="0.7" right="0.7" top="0.75" bottom="0.75" header="0.3" footer="0.3"/>
  <pageSetup paperSize="9" scale="75" fitToHeight="0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MAPA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2025-07-01T20:24:26Z</dcterms:created>
  <dcterms:modified xsi:type="dcterms:W3CDTF">2025-07-08T21:15:33Z</dcterms:modified>
  <cp:category/>
</cp:coreProperties>
</file>